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50" tabRatio="603" activeTab="1"/>
  </bookViews>
  <sheets>
    <sheet name="Торгаеву" sheetId="1" r:id="rId1"/>
    <sheet name="Лист1" sheetId="2" r:id="rId2"/>
    <sheet name="Свод" sheetId="3" r:id="rId3"/>
    <sheet name="январь" sheetId="4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октябрь" sheetId="13" r:id="rId13"/>
    <sheet name="ноябрь" sheetId="14" r:id="rId14"/>
    <sheet name="декабрь" sheetId="15" r:id="rId15"/>
  </sheets>
  <externalReferences>
    <externalReference r:id="rId18"/>
  </externalReferences>
  <definedNames>
    <definedName name="_xlnm.Print_Area" localSheetId="1">'Лист1'!$A$1:$R$129</definedName>
    <definedName name="_xlnm.Print_Area" localSheetId="0">'Торгаеву'!$A$1:$R$125</definedName>
  </definedNames>
  <calcPr fullCalcOnLoad="1"/>
</workbook>
</file>

<file path=xl/sharedStrings.xml><?xml version="1.0" encoding="utf-8"?>
<sst xmlns="http://schemas.openxmlformats.org/spreadsheetml/2006/main" count="2458" uniqueCount="234">
  <si>
    <t>Исполнитель:</t>
  </si>
  <si>
    <t>многоквартирного дома</t>
  </si>
  <si>
    <t>отчетный период</t>
  </si>
  <si>
    <t>№п/п</t>
  </si>
  <si>
    <t>Наименование работ</t>
  </si>
  <si>
    <t>ед. изм.</t>
  </si>
  <si>
    <t>кол-во</t>
  </si>
  <si>
    <t>примечание</t>
  </si>
  <si>
    <t>Заказчик:     Собственники жилого дома по адресу:</t>
  </si>
  <si>
    <t>раз</t>
  </si>
  <si>
    <t>Всего по инженерному оборудованию</t>
  </si>
  <si>
    <t>ИТОГО ПО АКТУ ВЫПОЛНЕННЫХ РАБОТ</t>
  </si>
  <si>
    <t>Обслуживающая организация</t>
  </si>
  <si>
    <t>Санитарное содержание придомовой территории в соответствии с ПиН</t>
  </si>
  <si>
    <t>Санитарное содержание подъездов в соответствии с ПиН</t>
  </si>
  <si>
    <r>
      <t xml:space="preserve">____________________/ </t>
    </r>
    <r>
      <rPr>
        <u val="single"/>
        <sz val="11"/>
        <color indexed="8"/>
        <rFont val="Times New Roman"/>
        <family val="1"/>
      </rPr>
      <t>Г.М. Жериченко</t>
    </r>
    <r>
      <rPr>
        <sz val="11"/>
        <color indexed="8"/>
        <rFont val="Times New Roman"/>
        <family val="1"/>
      </rPr>
      <t>/</t>
    </r>
  </si>
  <si>
    <t>мес.</t>
  </si>
  <si>
    <t>стоимость 
работ, руб</t>
  </si>
  <si>
    <t>Итого</t>
  </si>
  <si>
    <t>Вывоз и утилизация ТБО</t>
  </si>
  <si>
    <t>Дератизация, дезинсекция</t>
  </si>
  <si>
    <t>Содержание и эксплуатация лифтов</t>
  </si>
  <si>
    <t>Содержание и обслуживание мусоро- провода в соответствии с ПиН</t>
  </si>
  <si>
    <t>1. Благоустройство и обеспечение санитарного состояния жилых зданий и придомовых территорий</t>
  </si>
  <si>
    <t>1.1</t>
  </si>
  <si>
    <t>1.2</t>
  </si>
  <si>
    <t>1.3</t>
  </si>
  <si>
    <t>1.4</t>
  </si>
  <si>
    <t>1.5</t>
  </si>
  <si>
    <t>1.6</t>
  </si>
  <si>
    <t>1.7</t>
  </si>
  <si>
    <t>1.8</t>
  </si>
  <si>
    <t>2. Эксплуатация, содержание и текущий ремонт инженерного оборудования</t>
  </si>
  <si>
    <t>Всего по благоустройству и санитарному содержанию</t>
  </si>
  <si>
    <t>2.1</t>
  </si>
  <si>
    <t>2.2</t>
  </si>
  <si>
    <t>2.3</t>
  </si>
  <si>
    <t>2.4</t>
  </si>
  <si>
    <t>3. Эксплуатация, содержание и текущий ремонт конструктивных элементов здания</t>
  </si>
  <si>
    <t>стоимость
материалов руб</t>
  </si>
  <si>
    <t>Наименование услуги</t>
  </si>
  <si>
    <t>Всего по конструктивным элементам</t>
  </si>
  <si>
    <t>3.1</t>
  </si>
  <si>
    <t>3.2</t>
  </si>
  <si>
    <t>Транспортные расходы</t>
  </si>
  <si>
    <t>стоимость работ, руб</t>
  </si>
  <si>
    <t>Примечание</t>
  </si>
  <si>
    <t>Представитель собственников</t>
  </si>
  <si>
    <t>Дополнительные работы:</t>
  </si>
  <si>
    <t>Вывоз КГО</t>
  </si>
  <si>
    <t>Обслуживание домофона</t>
  </si>
  <si>
    <t>Аварийные работы (канализ.)</t>
  </si>
  <si>
    <t>услуги по начислению платежей и взносов</t>
  </si>
  <si>
    <t>услуги паспортного стола</t>
  </si>
  <si>
    <t>транспортные расходы</t>
  </si>
  <si>
    <t>Вознаграждение председателю совета МКД</t>
  </si>
  <si>
    <t>Электроэнергия</t>
  </si>
  <si>
    <t xml:space="preserve">Отопление </t>
  </si>
  <si>
    <t>Горячая вода</t>
  </si>
  <si>
    <t xml:space="preserve">Холодная вода </t>
  </si>
  <si>
    <t>Водоотведение</t>
  </si>
  <si>
    <t>Всего по коммунальным услугам</t>
  </si>
  <si>
    <t>банковские услуги</t>
  </si>
  <si>
    <t>канцтовары</t>
  </si>
  <si>
    <t>обновление и содержание програмного
обеспечения, оргтехники</t>
  </si>
  <si>
    <t>4.1</t>
  </si>
  <si>
    <t>4.2</t>
  </si>
  <si>
    <t>4.3</t>
  </si>
  <si>
    <t>4.4</t>
  </si>
  <si>
    <t>юридические услуги</t>
  </si>
  <si>
    <t>4.5</t>
  </si>
  <si>
    <t>__________________/_______________/</t>
  </si>
  <si>
    <t>услуги связи</t>
  </si>
  <si>
    <t>Прочие затраты</t>
  </si>
  <si>
    <t>налоги</t>
  </si>
  <si>
    <t>почтовые расходы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</si>
  <si>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</si>
  <si>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</si>
  <si>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</si>
  <si>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</si>
  <si>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</si>
  <si>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</si>
  <si>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</si>
  <si>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</si>
  <si>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</si>
  <si>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</si>
  <si>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</si>
  <si>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</si>
  <si>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</si>
  <si>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
года</t>
  </si>
  <si>
    <t>Оплата за год</t>
  </si>
  <si>
    <t>Сальдо на
конец отчетного месяца.</t>
  </si>
  <si>
    <t>Жилищные услуги</t>
  </si>
  <si>
    <t>Содержание и уборка м/проводов</t>
  </si>
  <si>
    <t>Содержание и ремонт лифтов</t>
  </si>
  <si>
    <t xml:space="preserve"> </t>
  </si>
  <si>
    <t>Домофон</t>
  </si>
  <si>
    <t>Прочие</t>
  </si>
  <si>
    <t>Итого доходов по ЖУ</t>
  </si>
  <si>
    <t>в т.ч.от населения</t>
  </si>
  <si>
    <t xml:space="preserve">           прочие</t>
  </si>
  <si>
    <t xml:space="preserve">          из бюджета</t>
  </si>
  <si>
    <t>Коммунальные услуги</t>
  </si>
  <si>
    <t>Холодная вода ОДН</t>
  </si>
  <si>
    <t>Водоотведение ОДН</t>
  </si>
  <si>
    <t>Электроэнергия ОДН</t>
  </si>
  <si>
    <t>Отопление</t>
  </si>
  <si>
    <t>Горячая вода ОДН</t>
  </si>
  <si>
    <t>г/вода</t>
  </si>
  <si>
    <t>Холодная вода</t>
  </si>
  <si>
    <t>Итого доходов по КУ</t>
  </si>
  <si>
    <t>Всего доходов по дому</t>
  </si>
  <si>
    <t>№
п/п</t>
  </si>
  <si>
    <t>Наименование расходов</t>
  </si>
  <si>
    <t>ЭКОНОМИЯ/-ПЕРЕРАСХОД</t>
  </si>
  <si>
    <t>Всего расходов по дому</t>
  </si>
  <si>
    <t>Экономия(+),перерасход(-) 
в целом по дому</t>
  </si>
  <si>
    <t>Недоборы</t>
  </si>
  <si>
    <t xml:space="preserve">х/вода </t>
  </si>
  <si>
    <t xml:space="preserve"> водоотведение</t>
  </si>
  <si>
    <t>электроэнергия</t>
  </si>
  <si>
    <t>Директор</t>
  </si>
  <si>
    <t>Г.М.Жериченко</t>
  </si>
  <si>
    <t>Гл.бухгалтер</t>
  </si>
  <si>
    <t>Т.В. Табаргина</t>
  </si>
  <si>
    <t>горячая вода</t>
  </si>
  <si>
    <t>уборщик территории</t>
  </si>
  <si>
    <t>уборщик лестничных клеток</t>
  </si>
  <si>
    <t>материалы, инвентарь</t>
  </si>
  <si>
    <t>охрана труда и техника безопасности</t>
  </si>
  <si>
    <t>дератизация, дезинсекция</t>
  </si>
  <si>
    <t>вывоз КГО</t>
  </si>
  <si>
    <t>затраты на оплату труда 
обслуживающего персонала с отчислениями</t>
  </si>
  <si>
    <t>уборщик мусоропровода</t>
  </si>
  <si>
    <t>1.9</t>
  </si>
  <si>
    <t>1.10</t>
  </si>
  <si>
    <t>аварийные работы (канализация)</t>
  </si>
  <si>
    <t>2.5</t>
  </si>
  <si>
    <t>Содержание домохозяйства</t>
  </si>
  <si>
    <t>Обслуживание конструктивных элементов</t>
  </si>
  <si>
    <t>Обслуживание инженерного оборудования</t>
  </si>
  <si>
    <t>прочие затраты</t>
  </si>
  <si>
    <t>Админ.-управленческое и инженерно-
техническое сопровождение</t>
  </si>
  <si>
    <t>Услуги по начислению платежей и взносов</t>
  </si>
  <si>
    <t>Услуги паспортного стола</t>
  </si>
  <si>
    <t>канцтовары, материалы</t>
  </si>
  <si>
    <t>Итого расходов по ЖУ</t>
  </si>
  <si>
    <t>Итого расходов по КУ</t>
  </si>
  <si>
    <t>Содержание и ремонт мест общего пользов.</t>
  </si>
  <si>
    <t>выполненных работ по содержанию и текущему ремонту общего имущества МКД</t>
  </si>
  <si>
    <t>Зксплуатация, содержание и текущий ремонт сантехоборудования в соответствии с ПиН</t>
  </si>
  <si>
    <t>Зксплуатация, содержание и текущий ремонт электрооборудования в соответствии с ПиН</t>
  </si>
  <si>
    <t>админ.-управленческое и инженерно-техниче- ское сопровождение</t>
  </si>
  <si>
    <t>Зксплуатация, содержание и текущий ремонт конструкт. элементов в соответствии с ПиН</t>
  </si>
  <si>
    <t>4. Прочие услуги</t>
  </si>
  <si>
    <t>Всего прочих услуг</t>
  </si>
  <si>
    <t>5.</t>
  </si>
  <si>
    <t>6. Коммунальные услуги</t>
  </si>
  <si>
    <t>ул. Курако,17 А</t>
  </si>
  <si>
    <t>холодная вода</t>
  </si>
  <si>
    <t>водоотведение</t>
  </si>
  <si>
    <t>Содержание и ремонт (нежилые)</t>
  </si>
  <si>
    <t>пр. Курако, 17 А</t>
  </si>
  <si>
    <t>Вознаграждение председателю с/д МКД</t>
  </si>
  <si>
    <t>Покос травы</t>
  </si>
  <si>
    <t>ООО "Каскад-Сервис"</t>
  </si>
  <si>
    <t>Сбор и транспортировка ТКО</t>
  </si>
  <si>
    <t>Услуга доступа в интернет</t>
  </si>
  <si>
    <t>Ремонт межпанельных швов</t>
  </si>
  <si>
    <t>АКТ № 01/17А от  31 января 2017г.</t>
  </si>
  <si>
    <t>01.01.2017 - 31.01.2017</t>
  </si>
  <si>
    <t>01.03.2017 - 31.03.2017</t>
  </si>
  <si>
    <t>АКТ № 05/17А от  31 мая 2017г.</t>
  </si>
  <si>
    <t>01.05.2017 - 31.05.2017</t>
  </si>
  <si>
    <t>АКТ № 06/17А от  30 июня 2017г.</t>
  </si>
  <si>
    <t>01.06.2017 - 30.06.2017</t>
  </si>
  <si>
    <t>АКТ № 07/17А от  31 июля 2017г.</t>
  </si>
  <si>
    <t>01.07.2017 - 31.07.2017</t>
  </si>
  <si>
    <t>АКТ № 08/17А от  31 августа 2017г.</t>
  </si>
  <si>
    <t>01.08.2017 - 31.08.2017</t>
  </si>
  <si>
    <t>АКТ № 09/17А от  30 сентября 2017г.</t>
  </si>
  <si>
    <t>01.09.2017 - 30.09.2017</t>
  </si>
  <si>
    <t>АКТ № 10/17А от  31 октября 2017г.</t>
  </si>
  <si>
    <t>01.10.2017 - 31.10.2017</t>
  </si>
  <si>
    <t>АКТ № 11/17А от  30 ноября 2017г.</t>
  </si>
  <si>
    <t>01.11.2017 - 30.11.2017</t>
  </si>
  <si>
    <t>1.11</t>
  </si>
  <si>
    <t>1.12</t>
  </si>
  <si>
    <t>1.13</t>
  </si>
  <si>
    <t>1.14</t>
  </si>
  <si>
    <t>АКТ № 12/17А от  31 декабря 2017г.</t>
  </si>
  <si>
    <t>01.12.2017 - 31.12.2017</t>
  </si>
  <si>
    <t>Холодная вода ОДН ЖУ</t>
  </si>
  <si>
    <t>Водоотведение ОДН ЖУ</t>
  </si>
  <si>
    <t>Горячая вода ОДН ЖУ</t>
  </si>
  <si>
    <t>Электроэенргия ОДН ЖУ</t>
  </si>
  <si>
    <t>Электроэнергия ОДН ЖУ</t>
  </si>
  <si>
    <t xml:space="preserve">реклама </t>
  </si>
  <si>
    <t>Сальдо на
01.01.2017г</t>
  </si>
  <si>
    <t>Свод доходов по пр.Курако,17а за 2017 год.</t>
  </si>
  <si>
    <t>РАСШИФРОВКА РАСХОДОВ  пр.Курако,17а за 2017 год.</t>
  </si>
  <si>
    <t>Прочие (нежилые)</t>
  </si>
  <si>
    <t>ОДН ЖУ (нежилые)</t>
  </si>
  <si>
    <t>01.02.2017 - 28.02.2017</t>
  </si>
  <si>
    <t>АКТ № 04/17А от  30 апреля 2017г.</t>
  </si>
  <si>
    <t>АКТ № 03/17А от  31 марта 2017г.</t>
  </si>
  <si>
    <t>АКТ № 02/17А от  28 февраля 2017г.</t>
  </si>
  <si>
    <t>01.04.2017 - 30.04.2017</t>
  </si>
  <si>
    <t>ремонт межпанельных швов</t>
  </si>
  <si>
    <t>ООО УК "Каскад-Сервис"</t>
  </si>
  <si>
    <t>ОООУК  "Каскад-Сервис"</t>
  </si>
  <si>
    <t>____________________/В.А.Пянзина/</t>
  </si>
  <si>
    <t>ООО УК  "Каскад-Сервис"</t>
  </si>
  <si>
    <t>Услуга доступв в интернет</t>
  </si>
  <si>
    <t>Ремонт подъездных козырьков</t>
  </si>
  <si>
    <t>Ремонт системы видеонаблюдения</t>
  </si>
  <si>
    <t>Переведено из ООО "Каскад-Сервис"</t>
  </si>
  <si>
    <t>Сальдо на
01.06.2017г</t>
  </si>
  <si>
    <t>С начала
периода</t>
  </si>
  <si>
    <t>Оплата за
период</t>
  </si>
  <si>
    <t>в т.ч. переведено из ООО "Каскад-Сервис"</t>
  </si>
  <si>
    <t>В.А.Пянзина</t>
  </si>
  <si>
    <t>Т.В.Табаргина</t>
  </si>
  <si>
    <t>Канализация</t>
  </si>
  <si>
    <t>ремонт швов и козырьков</t>
  </si>
  <si>
    <t>Итого:</t>
  </si>
  <si>
    <t>Реклама и провайдеры</t>
  </si>
  <si>
    <t>Всего прочие и экономия с ООО "Каскад-Сервис"</t>
  </si>
  <si>
    <t>Экономия от прочих доходов</t>
  </si>
  <si>
    <t>материалы сверх нормы инженерка</t>
  </si>
  <si>
    <t>материалы сверх нормы конструктивы</t>
  </si>
  <si>
    <t>Новый год</t>
  </si>
  <si>
    <t>Пена монт кв. 144 -17 бал. На 3740р.</t>
  </si>
  <si>
    <t>Подготовка к зиме: краны шаровые ф20 -2шт,ф25-3шт,ф15-2шт,ф50-3шт.балансир ф20 -шт,клапан обратный  ф20 -2 шт,ф25 -2 шт. труба ф50-8м.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</si>
</sst>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12"/>
      <name val="Times New Roman"/>
      <family val="1"/>
    </font>
    <font>
      <i/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5" fillId="0" borderId="1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64" fontId="18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/>
    </xf>
    <xf numFmtId="2" fontId="16" fillId="0" borderId="0" xfId="0" applyNumberFormat="1" applyFont="1" applyBorder="1" applyAlignment="1">
      <alignment/>
    </xf>
    <xf numFmtId="0" fontId="8" fillId="0" borderId="0" xfId="0" applyFont="1" applyFill="1" applyAlignment="1">
      <alignment horizontal="left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2" fontId="21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2" fontId="17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2" fontId="24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/>
    </xf>
    <xf numFmtId="2" fontId="23" fillId="0" borderId="11" xfId="0" applyNumberFormat="1" applyFont="1" applyFill="1" applyBorder="1" applyAlignment="1">
      <alignment/>
    </xf>
    <xf numFmtId="2" fontId="25" fillId="0" borderId="11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2" fontId="23" fillId="0" borderId="13" xfId="0" applyNumberFormat="1" applyFont="1" applyFill="1" applyBorder="1" applyAlignment="1">
      <alignment horizontal="center"/>
    </xf>
    <xf numFmtId="2" fontId="27" fillId="0" borderId="11" xfId="0" applyNumberFormat="1" applyFont="1" applyFill="1" applyBorder="1" applyAlignment="1">
      <alignment/>
    </xf>
    <xf numFmtId="2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2" fontId="25" fillId="0" borderId="10" xfId="0" applyNumberFormat="1" applyFont="1" applyFill="1" applyBorder="1" applyAlignment="1">
      <alignment/>
    </xf>
    <xf numFmtId="2" fontId="25" fillId="0" borderId="0" xfId="0" applyNumberFormat="1" applyFont="1" applyFill="1" applyAlignment="1">
      <alignment/>
    </xf>
    <xf numFmtId="2" fontId="23" fillId="0" borderId="15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wrapText="1"/>
    </xf>
    <xf numFmtId="2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16" xfId="0" applyFont="1" applyFill="1" applyBorder="1" applyAlignment="1">
      <alignment wrapText="1"/>
    </xf>
    <xf numFmtId="0" fontId="23" fillId="0" borderId="16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2" fontId="24" fillId="0" borderId="16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2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left"/>
    </xf>
    <xf numFmtId="2" fontId="29" fillId="0" borderId="10" xfId="0" applyNumberFormat="1" applyFont="1" applyFill="1" applyBorder="1" applyAlignment="1">
      <alignment horizontal="right"/>
    </xf>
    <xf numFmtId="2" fontId="30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2" fontId="12" fillId="0" borderId="11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right"/>
    </xf>
    <xf numFmtId="2" fontId="12" fillId="0" borderId="11" xfId="0" applyNumberFormat="1" applyFont="1" applyFill="1" applyBorder="1" applyAlignment="1">
      <alignment horizontal="right"/>
    </xf>
    <xf numFmtId="2" fontId="31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28" fillId="0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left"/>
    </xf>
    <xf numFmtId="2" fontId="28" fillId="0" borderId="10" xfId="0" applyNumberFormat="1" applyFont="1" applyFill="1" applyBorder="1" applyAlignment="1">
      <alignment horizontal="right"/>
    </xf>
    <xf numFmtId="2" fontId="28" fillId="0" borderId="11" xfId="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2" fontId="12" fillId="0" borderId="11" xfId="0" applyNumberFormat="1" applyFont="1" applyFill="1" applyBorder="1" applyAlignment="1">
      <alignment horizontal="right"/>
    </xf>
    <xf numFmtId="2" fontId="31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right"/>
    </xf>
    <xf numFmtId="2" fontId="29" fillId="0" borderId="11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2" fontId="17" fillId="0" borderId="0" xfId="0" applyNumberFormat="1" applyFont="1" applyFill="1" applyAlignment="1">
      <alignment horizontal="right"/>
    </xf>
    <xf numFmtId="2" fontId="32" fillId="0" borderId="0" xfId="0" applyNumberFormat="1" applyFont="1" applyFill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2" fontId="17" fillId="0" borderId="1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 wrapText="1"/>
    </xf>
    <xf numFmtId="2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/>
    </xf>
    <xf numFmtId="0" fontId="17" fillId="24" borderId="0" xfId="0" applyFont="1" applyFill="1" applyAlignment="1">
      <alignment horizontal="left"/>
    </xf>
    <xf numFmtId="49" fontId="14" fillId="0" borderId="16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28" fillId="0" borderId="11" xfId="0" applyFont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2" fontId="28" fillId="0" borderId="11" xfId="0" applyNumberFormat="1" applyFont="1" applyFill="1" applyBorder="1" applyAlignment="1">
      <alignment/>
    </xf>
    <xf numFmtId="2" fontId="28" fillId="0" borderId="10" xfId="0" applyNumberFormat="1" applyFont="1" applyFill="1" applyBorder="1" applyAlignment="1">
      <alignment/>
    </xf>
    <xf numFmtId="0" fontId="28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2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2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right"/>
    </xf>
    <xf numFmtId="0" fontId="29" fillId="0" borderId="11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2" fontId="28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34" fillId="0" borderId="0" xfId="0" applyFont="1" applyFill="1" applyAlignment="1">
      <alignment horizontal="left"/>
    </xf>
    <xf numFmtId="2" fontId="29" fillId="0" borderId="10" xfId="0" applyNumberFormat="1" applyFont="1" applyBorder="1" applyAlignment="1">
      <alignment/>
    </xf>
    <xf numFmtId="0" fontId="9" fillId="0" borderId="13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10" xfId="0" applyFont="1" applyBorder="1" applyAlignment="1">
      <alignment/>
    </xf>
    <xf numFmtId="2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6" fillId="0" borderId="10" xfId="0" applyFont="1" applyFill="1" applyBorder="1" applyAlignment="1">
      <alignment wrapText="1"/>
    </xf>
    <xf numFmtId="2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28" fillId="0" borderId="13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0" fontId="35" fillId="0" borderId="11" xfId="0" applyFont="1" applyFill="1" applyBorder="1" applyAlignment="1">
      <alignment horizontal="right"/>
    </xf>
    <xf numFmtId="2" fontId="35" fillId="0" borderId="10" xfId="0" applyNumberFormat="1" applyFont="1" applyFill="1" applyBorder="1" applyAlignment="1">
      <alignment horizontal="right"/>
    </xf>
    <xf numFmtId="2" fontId="35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 horizontal="left"/>
    </xf>
    <xf numFmtId="2" fontId="28" fillId="0" borderId="0" xfId="0" applyNumberFormat="1" applyFont="1" applyFill="1" applyAlignment="1">
      <alignment horizontal="right"/>
    </xf>
    <xf numFmtId="2" fontId="23" fillId="0" borderId="13" xfId="0" applyNumberFormat="1" applyFont="1" applyFill="1" applyBorder="1" applyAlignment="1">
      <alignment horizontal="center" vertical="center"/>
    </xf>
    <xf numFmtId="9" fontId="24" fillId="0" borderId="10" xfId="0" applyNumberFormat="1" applyFont="1" applyFill="1" applyBorder="1" applyAlignment="1">
      <alignment horizontal="left"/>
    </xf>
    <xf numFmtId="0" fontId="18" fillId="0" borderId="16" xfId="0" applyFont="1" applyFill="1" applyBorder="1" applyAlignment="1">
      <alignment wrapText="1"/>
    </xf>
    <xf numFmtId="49" fontId="18" fillId="0" borderId="11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wrapText="1"/>
    </xf>
    <xf numFmtId="0" fontId="18" fillId="0" borderId="13" xfId="0" applyFont="1" applyFill="1" applyBorder="1" applyAlignment="1">
      <alignment horizontal="center"/>
    </xf>
    <xf numFmtId="0" fontId="17" fillId="24" borderId="13" xfId="0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wrapText="1"/>
    </xf>
    <xf numFmtId="0" fontId="15" fillId="0" borderId="13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right"/>
    </xf>
    <xf numFmtId="0" fontId="52" fillId="0" borderId="0" xfId="0" applyFont="1" applyFill="1" applyAlignment="1">
      <alignment horizontal="left"/>
    </xf>
    <xf numFmtId="0" fontId="9" fillId="0" borderId="13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3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23" fillId="0" borderId="16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4" fillId="0" borderId="16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9;&#1082;&#1072;&#1076;\&#1058;&#1045;&#1050;&#1059;&#1063;&#1050;&#1040;%20&#1047;&#1040;%202014%20&#1075;&#1086;&#1076;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М.8а"/>
      <sheetName val="расходы"/>
      <sheetName val="Свод "/>
      <sheetName val="Б-10А"/>
      <sheetName val="10А"/>
      <sheetName val="Б-10Б"/>
      <sheetName val="Лист4"/>
      <sheetName val="Лист3"/>
      <sheetName val="10Б"/>
      <sheetName val="К-17А"/>
      <sheetName val="Лист2"/>
      <sheetName val="17А"/>
      <sheetName val="К-17Б"/>
      <sheetName val="17Б"/>
      <sheetName val="К-19Б"/>
      <sheetName val="19Б"/>
      <sheetName val="Ст-42"/>
      <sheetName val="42"/>
      <sheetName val="Сп-4"/>
      <sheetName val="4"/>
      <sheetName val="1Мая-13"/>
      <sheetName val="13"/>
      <sheetName val="К.М14А"/>
      <sheetName val="14А"/>
      <sheetName val="Ч-22"/>
      <sheetName val="22"/>
      <sheetName val="Ч-28А "/>
      <sheetName val="28А"/>
      <sheetName val="Ч-38"/>
      <sheetName val="38"/>
      <sheetName val="Ч-32"/>
      <sheetName val="гараж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workbookViewId="0" topLeftCell="I50">
      <selection activeCell="S121" sqref="S121"/>
    </sheetView>
  </sheetViews>
  <sheetFormatPr defaultColWidth="9.140625" defaultRowHeight="15"/>
  <cols>
    <col min="1" max="1" width="4.00390625" style="127" customWidth="1"/>
    <col min="2" max="2" width="45.140625" style="127" customWidth="1"/>
    <col min="3" max="3" width="10.421875" style="127" customWidth="1"/>
    <col min="4" max="4" width="12.7109375" style="127" hidden="1" customWidth="1"/>
    <col min="5" max="5" width="12.00390625" style="127" hidden="1" customWidth="1"/>
    <col min="6" max="6" width="11.57421875" style="127" hidden="1" customWidth="1"/>
    <col min="7" max="7" width="8.8515625" style="127" hidden="1" customWidth="1"/>
    <col min="8" max="8" width="10.7109375" style="127" hidden="1" customWidth="1"/>
    <col min="9" max="15" width="11.7109375" style="127" bestFit="1" customWidth="1"/>
    <col min="16" max="16" width="12.7109375" style="127" bestFit="1" customWidth="1"/>
    <col min="17" max="17" width="11.8515625" style="127" customWidth="1"/>
    <col min="18" max="18" width="13.140625" style="127" bestFit="1" customWidth="1"/>
    <col min="19" max="19" width="13.00390625" style="126" bestFit="1" customWidth="1"/>
    <col min="20" max="20" width="12.8515625" style="127" bestFit="1" customWidth="1"/>
    <col min="21" max="21" width="12.28125" style="127" bestFit="1" customWidth="1"/>
    <col min="22" max="22" width="10.421875" style="127" bestFit="1" customWidth="1"/>
    <col min="23" max="23" width="9.140625" style="127" customWidth="1"/>
    <col min="24" max="24" width="10.421875" style="127" bestFit="1" customWidth="1"/>
    <col min="25" max="25" width="9.140625" style="127" customWidth="1"/>
    <col min="26" max="26" width="10.421875" style="127" bestFit="1" customWidth="1"/>
    <col min="27" max="16384" width="9.140625" style="127" customWidth="1"/>
  </cols>
  <sheetData>
    <row r="1" spans="2:19" s="59" customFormat="1" ht="20.25" customHeight="1">
      <c r="B1" s="208" t="s">
        <v>199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63"/>
    </row>
    <row r="2" spans="2:19" s="64" customFormat="1" ht="38.25" customHeight="1">
      <c r="B2" s="65"/>
      <c r="C2" s="66" t="s">
        <v>217</v>
      </c>
      <c r="D2" s="67" t="s">
        <v>77</v>
      </c>
      <c r="E2" s="67" t="s">
        <v>78</v>
      </c>
      <c r="F2" s="67" t="s">
        <v>79</v>
      </c>
      <c r="G2" s="67" t="s">
        <v>80</v>
      </c>
      <c r="H2" s="67" t="s">
        <v>81</v>
      </c>
      <c r="I2" s="67" t="s">
        <v>82</v>
      </c>
      <c r="J2" s="67" t="s">
        <v>83</v>
      </c>
      <c r="K2" s="67" t="s">
        <v>84</v>
      </c>
      <c r="L2" s="67" t="s">
        <v>85</v>
      </c>
      <c r="M2" s="67" t="s">
        <v>86</v>
      </c>
      <c r="N2" s="67" t="s">
        <v>87</v>
      </c>
      <c r="O2" s="67" t="s">
        <v>88</v>
      </c>
      <c r="P2" s="67" t="s">
        <v>218</v>
      </c>
      <c r="Q2" s="66" t="s">
        <v>219</v>
      </c>
      <c r="R2" s="66" t="s">
        <v>91</v>
      </c>
      <c r="S2" s="68"/>
    </row>
    <row r="3" spans="2:19" s="69" customFormat="1" ht="15.75">
      <c r="B3" s="70" t="s">
        <v>92</v>
      </c>
      <c r="C3" s="71"/>
      <c r="D3" s="190"/>
      <c r="E3" s="72"/>
      <c r="F3" s="72"/>
      <c r="G3" s="72"/>
      <c r="H3" s="72"/>
      <c r="I3" s="72"/>
      <c r="J3" s="73"/>
      <c r="K3" s="73"/>
      <c r="L3" s="73"/>
      <c r="M3" s="73"/>
      <c r="N3" s="73"/>
      <c r="O3" s="73"/>
      <c r="P3" s="73"/>
      <c r="Q3" s="74"/>
      <c r="S3" s="75"/>
    </row>
    <row r="4" spans="2:19" s="76" customFormat="1" ht="15.75">
      <c r="B4" s="77" t="s">
        <v>148</v>
      </c>
      <c r="C4" s="78"/>
      <c r="D4" s="78"/>
      <c r="E4" s="78"/>
      <c r="F4" s="78"/>
      <c r="G4" s="78"/>
      <c r="H4" s="78"/>
      <c r="I4" s="78">
        <v>138914.73</v>
      </c>
      <c r="J4" s="78">
        <v>138348.12</v>
      </c>
      <c r="K4" s="78">
        <v>138914.73</v>
      </c>
      <c r="L4" s="78">
        <v>138914.73</v>
      </c>
      <c r="M4" s="78">
        <v>138914.73</v>
      </c>
      <c r="N4" s="78">
        <v>138914.73</v>
      </c>
      <c r="O4" s="78">
        <v>138914.73</v>
      </c>
      <c r="P4" s="79">
        <f>SUM(D4:O4)</f>
        <v>971836.4999999999</v>
      </c>
      <c r="Q4" s="79">
        <v>737392.64</v>
      </c>
      <c r="R4" s="78">
        <f>C4+P4-Q4</f>
        <v>234443.85999999987</v>
      </c>
      <c r="S4" s="80"/>
    </row>
    <row r="5" spans="2:19" s="76" customFormat="1" ht="15.75">
      <c r="B5" s="77" t="s">
        <v>192</v>
      </c>
      <c r="C5" s="78"/>
      <c r="D5" s="78"/>
      <c r="E5" s="78"/>
      <c r="F5" s="78"/>
      <c r="G5" s="78"/>
      <c r="H5" s="78"/>
      <c r="I5" s="78">
        <v>501.53</v>
      </c>
      <c r="J5" s="78">
        <v>297.91</v>
      </c>
      <c r="K5" s="78">
        <v>544.24</v>
      </c>
      <c r="L5" s="78">
        <v>544.24</v>
      </c>
      <c r="M5" s="78">
        <v>544.24</v>
      </c>
      <c r="N5" s="78">
        <v>544.24</v>
      </c>
      <c r="O5" s="79">
        <v>544.24</v>
      </c>
      <c r="P5" s="79">
        <f>SUM(D5:O5)</f>
        <v>3520.6399999999994</v>
      </c>
      <c r="Q5" s="79">
        <v>2652.41</v>
      </c>
      <c r="R5" s="78">
        <f>C5+P5-Q5</f>
        <v>868.2299999999996</v>
      </c>
      <c r="S5" s="80"/>
    </row>
    <row r="6" spans="2:19" s="76" customFormat="1" ht="15.75">
      <c r="B6" s="77" t="s">
        <v>193</v>
      </c>
      <c r="C6" s="78"/>
      <c r="D6" s="78"/>
      <c r="E6" s="78"/>
      <c r="F6" s="78"/>
      <c r="G6" s="78"/>
      <c r="H6" s="78"/>
      <c r="I6" s="78">
        <v>750.59</v>
      </c>
      <c r="J6" s="78">
        <v>504.92</v>
      </c>
      <c r="K6" s="78">
        <v>652.69</v>
      </c>
      <c r="L6" s="78">
        <v>652.69</v>
      </c>
      <c r="M6" s="78">
        <v>652.69</v>
      </c>
      <c r="N6" s="78">
        <v>652.69</v>
      </c>
      <c r="O6" s="78">
        <f>652.69</f>
        <v>652.69</v>
      </c>
      <c r="P6" s="79">
        <f>SUM(D6:O6)</f>
        <v>4518.960000000001</v>
      </c>
      <c r="Q6" s="79">
        <v>3464.6</v>
      </c>
      <c r="R6" s="78">
        <f>C6+P6-Q6</f>
        <v>1054.360000000001</v>
      </c>
      <c r="S6" s="80"/>
    </row>
    <row r="7" spans="2:19" s="76" customFormat="1" ht="15.75">
      <c r="B7" s="77" t="s">
        <v>194</v>
      </c>
      <c r="C7" s="78"/>
      <c r="D7" s="78"/>
      <c r="E7" s="78"/>
      <c r="F7" s="78"/>
      <c r="G7" s="78"/>
      <c r="H7" s="78"/>
      <c r="I7" s="78">
        <v>1527.4</v>
      </c>
      <c r="J7" s="78">
        <v>-1348.19</v>
      </c>
      <c r="K7" s="78">
        <v>1414.22</v>
      </c>
      <c r="L7" s="78">
        <v>1414.22</v>
      </c>
      <c r="M7" s="78">
        <v>1414.22</v>
      </c>
      <c r="N7" s="78">
        <v>1414.22</v>
      </c>
      <c r="O7" s="78">
        <v>1414.22</v>
      </c>
      <c r="P7" s="79">
        <f>SUM(D7:O7)</f>
        <v>7250.31</v>
      </c>
      <c r="Q7" s="79">
        <v>5008.03</v>
      </c>
      <c r="R7" s="78">
        <f>C7+P7-Q7</f>
        <v>2242.2800000000007</v>
      </c>
      <c r="S7" s="80"/>
    </row>
    <row r="8" spans="2:19" s="76" customFormat="1" ht="15.75">
      <c r="B8" s="77" t="s">
        <v>196</v>
      </c>
      <c r="C8" s="78"/>
      <c r="D8" s="78"/>
      <c r="E8" s="78"/>
      <c r="F8" s="78"/>
      <c r="G8" s="78"/>
      <c r="H8" s="78"/>
      <c r="I8" s="78">
        <v>22767.49</v>
      </c>
      <c r="J8" s="78">
        <v>17135.14</v>
      </c>
      <c r="K8" s="78">
        <v>20559.85</v>
      </c>
      <c r="L8" s="78">
        <v>20559.85</v>
      </c>
      <c r="M8" s="79">
        <v>-26977.94</v>
      </c>
      <c r="N8" s="79">
        <v>13488.97</v>
      </c>
      <c r="O8" s="79">
        <v>-5765.11</v>
      </c>
      <c r="P8" s="79">
        <f>SUM(D8:O8)</f>
        <v>61768.25</v>
      </c>
      <c r="Q8" s="79">
        <v>74277.37</v>
      </c>
      <c r="R8" s="78">
        <f>C8+P8-Q8</f>
        <v>-12509.119999999995</v>
      </c>
      <c r="S8" s="80"/>
    </row>
    <row r="9" spans="2:19" s="76" customFormat="1" ht="15.75" hidden="1">
      <c r="B9" s="77" t="s">
        <v>93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79"/>
      <c r="O9" s="79"/>
      <c r="P9" s="79">
        <f aca="true" t="shared" si="0" ref="P9:P32">SUM(D9:O9)</f>
        <v>0</v>
      </c>
      <c r="Q9" s="79"/>
      <c r="R9" s="78">
        <f aca="true" t="shared" si="1" ref="R9:R34">C9+P9-Q9</f>
        <v>0</v>
      </c>
      <c r="S9" s="80"/>
    </row>
    <row r="10" spans="2:19" s="76" customFormat="1" ht="15.75">
      <c r="B10" s="77" t="s">
        <v>166</v>
      </c>
      <c r="C10" s="78"/>
      <c r="D10" s="78"/>
      <c r="E10" s="78"/>
      <c r="F10" s="78"/>
      <c r="G10" s="78"/>
      <c r="H10" s="78"/>
      <c r="I10" s="78">
        <v>23932.04</v>
      </c>
      <c r="J10" s="78">
        <v>23802.66</v>
      </c>
      <c r="K10" s="78">
        <v>23932.04</v>
      </c>
      <c r="L10" s="78">
        <v>23932.04</v>
      </c>
      <c r="M10" s="78">
        <v>23932.04</v>
      </c>
      <c r="N10" s="78">
        <v>23932.04</v>
      </c>
      <c r="O10" s="78">
        <v>23932.04</v>
      </c>
      <c r="P10" s="79">
        <f t="shared" si="0"/>
        <v>167394.90000000002</v>
      </c>
      <c r="Q10" s="79">
        <v>128223.79</v>
      </c>
      <c r="R10" s="78">
        <f t="shared" si="1"/>
        <v>39171.11000000003</v>
      </c>
      <c r="S10" s="80"/>
    </row>
    <row r="11" spans="2:19" s="76" customFormat="1" ht="15.75">
      <c r="B11" s="77" t="s">
        <v>94</v>
      </c>
      <c r="C11" s="78"/>
      <c r="D11" s="78"/>
      <c r="E11" s="78"/>
      <c r="F11" s="78"/>
      <c r="G11" s="78"/>
      <c r="H11" s="78"/>
      <c r="I11" s="78">
        <v>46422.72</v>
      </c>
      <c r="J11" s="78">
        <v>46140.43</v>
      </c>
      <c r="K11" s="78">
        <v>46422.72</v>
      </c>
      <c r="L11" s="78">
        <v>46422.72</v>
      </c>
      <c r="M11" s="78">
        <v>46422.72</v>
      </c>
      <c r="N11" s="78">
        <v>46422.72</v>
      </c>
      <c r="O11" s="78">
        <v>46422.72</v>
      </c>
      <c r="P11" s="79">
        <f t="shared" si="0"/>
        <v>324676.75</v>
      </c>
      <c r="Q11" s="79">
        <v>243477.13</v>
      </c>
      <c r="R11" s="78">
        <f t="shared" si="1"/>
        <v>81199.62</v>
      </c>
      <c r="S11" s="80"/>
    </row>
    <row r="12" spans="2:19" s="76" customFormat="1" ht="15.75">
      <c r="B12" s="77" t="s">
        <v>96</v>
      </c>
      <c r="C12" s="78"/>
      <c r="D12" s="78"/>
      <c r="E12" s="78"/>
      <c r="F12" s="78"/>
      <c r="G12" s="78"/>
      <c r="H12" s="78"/>
      <c r="I12" s="78">
        <v>6276</v>
      </c>
      <c r="J12" s="78">
        <v>6082.95</v>
      </c>
      <c r="K12" s="78">
        <v>6206</v>
      </c>
      <c r="L12" s="78">
        <v>6087</v>
      </c>
      <c r="M12" s="78">
        <v>6173</v>
      </c>
      <c r="N12" s="78">
        <v>5903</v>
      </c>
      <c r="O12" s="79">
        <v>6173</v>
      </c>
      <c r="P12" s="79">
        <f t="shared" si="0"/>
        <v>42900.95</v>
      </c>
      <c r="Q12" s="79">
        <v>32326.63</v>
      </c>
      <c r="R12" s="78">
        <f t="shared" si="1"/>
        <v>10574.319999999996</v>
      </c>
      <c r="S12" s="80"/>
    </row>
    <row r="13" spans="2:19" s="76" customFormat="1" ht="15.75">
      <c r="B13" s="77" t="s">
        <v>163</v>
      </c>
      <c r="C13" s="78"/>
      <c r="D13" s="78"/>
      <c r="E13" s="78"/>
      <c r="F13" s="78"/>
      <c r="G13" s="78"/>
      <c r="H13" s="78"/>
      <c r="I13" s="78">
        <v>8131.58</v>
      </c>
      <c r="J13" s="78">
        <v>6010.67</v>
      </c>
      <c r="K13" s="78">
        <v>7071.16</v>
      </c>
      <c r="L13" s="78">
        <v>7071.16</v>
      </c>
      <c r="M13" s="78">
        <v>7071.16</v>
      </c>
      <c r="N13" s="78">
        <v>7071.16</v>
      </c>
      <c r="O13" s="78">
        <v>7071.16</v>
      </c>
      <c r="P13" s="79">
        <f t="shared" si="0"/>
        <v>49498.05</v>
      </c>
      <c r="Q13" s="79">
        <v>37841.89</v>
      </c>
      <c r="R13" s="78">
        <f t="shared" si="1"/>
        <v>11656.160000000003</v>
      </c>
      <c r="S13" s="80"/>
    </row>
    <row r="14" spans="2:19" s="76" customFormat="1" ht="15.75">
      <c r="B14" s="77" t="s">
        <v>197</v>
      </c>
      <c r="C14" s="78"/>
      <c r="D14" s="78"/>
      <c r="E14" s="78"/>
      <c r="F14" s="78"/>
      <c r="G14" s="78"/>
      <c r="H14" s="78"/>
      <c r="I14" s="78">
        <v>27000</v>
      </c>
      <c r="J14" s="78">
        <f>27000*2</f>
        <v>54000</v>
      </c>
      <c r="K14" s="78">
        <f>1000+27000</f>
        <v>28000</v>
      </c>
      <c r="L14" s="78">
        <f>1000+27000</f>
        <v>28000</v>
      </c>
      <c r="M14" s="78">
        <f>1000+27000</f>
        <v>28000</v>
      </c>
      <c r="N14" s="78">
        <f>1000+27000</f>
        <v>28000</v>
      </c>
      <c r="O14" s="79">
        <v>28000</v>
      </c>
      <c r="P14" s="79">
        <f t="shared" si="0"/>
        <v>221000</v>
      </c>
      <c r="Q14" s="79">
        <f>112000+27000</f>
        <v>139000</v>
      </c>
      <c r="R14" s="78">
        <f t="shared" si="1"/>
        <v>82000</v>
      </c>
      <c r="S14" s="80"/>
    </row>
    <row r="15" spans="2:21" s="76" customFormat="1" ht="15.75">
      <c r="B15" s="77" t="s">
        <v>97</v>
      </c>
      <c r="C15" s="78"/>
      <c r="D15" s="78"/>
      <c r="E15" s="78"/>
      <c r="F15" s="78"/>
      <c r="G15" s="78"/>
      <c r="H15" s="78"/>
      <c r="I15" s="78">
        <v>2755</v>
      </c>
      <c r="J15" s="78">
        <v>2755</v>
      </c>
      <c r="K15" s="78">
        <v>2755</v>
      </c>
      <c r="L15" s="78">
        <v>2755</v>
      </c>
      <c r="M15" s="78">
        <v>2755</v>
      </c>
      <c r="N15" s="78">
        <v>2755</v>
      </c>
      <c r="O15" s="78">
        <v>2752</v>
      </c>
      <c r="P15" s="79">
        <f t="shared" si="0"/>
        <v>19282</v>
      </c>
      <c r="Q15" s="78">
        <v>7641.28</v>
      </c>
      <c r="R15" s="78">
        <f t="shared" si="1"/>
        <v>11640.720000000001</v>
      </c>
      <c r="S15" s="80"/>
      <c r="U15" s="80"/>
    </row>
    <row r="16" spans="2:21" s="76" customFormat="1" ht="15.75">
      <c r="B16" s="191">
        <v>0.1</v>
      </c>
      <c r="C16" s="78"/>
      <c r="D16" s="78">
        <f>-(D15+D14)*10%</f>
        <v>0</v>
      </c>
      <c r="E16" s="78">
        <f aca="true" t="shared" si="2" ref="E16:O16">-(E15+E14)*10%</f>
        <v>0</v>
      </c>
      <c r="F16" s="78">
        <f t="shared" si="2"/>
        <v>0</v>
      </c>
      <c r="G16" s="78">
        <f t="shared" si="2"/>
        <v>0</v>
      </c>
      <c r="H16" s="78">
        <f t="shared" si="2"/>
        <v>0</v>
      </c>
      <c r="I16" s="78">
        <f t="shared" si="2"/>
        <v>-2975.5</v>
      </c>
      <c r="J16" s="78">
        <f>-(J15+J14)*10%</f>
        <v>-5675.5</v>
      </c>
      <c r="K16" s="78">
        <f t="shared" si="2"/>
        <v>-3075.5</v>
      </c>
      <c r="L16" s="78">
        <f t="shared" si="2"/>
        <v>-3075.5</v>
      </c>
      <c r="M16" s="78">
        <f t="shared" si="2"/>
        <v>-3075.5</v>
      </c>
      <c r="N16" s="78">
        <f t="shared" si="2"/>
        <v>-3075.5</v>
      </c>
      <c r="O16" s="78">
        <f t="shared" si="2"/>
        <v>-3075.2000000000003</v>
      </c>
      <c r="P16" s="79">
        <f t="shared" si="0"/>
        <v>-24028.2</v>
      </c>
      <c r="Q16" s="78">
        <f>-(Q15+Q14)*10%</f>
        <v>-14664.128</v>
      </c>
      <c r="R16" s="78">
        <f t="shared" si="1"/>
        <v>-9364.072</v>
      </c>
      <c r="S16" s="80"/>
      <c r="U16" s="80"/>
    </row>
    <row r="17" spans="2:21" s="76" customFormat="1" ht="15.75">
      <c r="B17" s="77" t="s">
        <v>161</v>
      </c>
      <c r="C17" s="78"/>
      <c r="D17" s="78"/>
      <c r="E17" s="78"/>
      <c r="F17" s="78"/>
      <c r="G17" s="78"/>
      <c r="H17" s="78"/>
      <c r="I17" s="78">
        <v>24556.3</v>
      </c>
      <c r="J17" s="78">
        <f>24556.3+91577.3</f>
        <v>116133.6</v>
      </c>
      <c r="K17" s="78">
        <v>24556.3</v>
      </c>
      <c r="L17" s="78">
        <v>24556.3</v>
      </c>
      <c r="M17" s="78">
        <v>24556.3</v>
      </c>
      <c r="N17" s="78">
        <v>24556.3</v>
      </c>
      <c r="O17" s="78">
        <v>24556.3</v>
      </c>
      <c r="P17" s="79">
        <f t="shared" si="0"/>
        <v>263471.39999999997</v>
      </c>
      <c r="Q17" s="78">
        <f>120198.49+91577.3</f>
        <v>211775.79</v>
      </c>
      <c r="R17" s="78">
        <f t="shared" si="1"/>
        <v>51695.60999999996</v>
      </c>
      <c r="S17" s="80"/>
      <c r="U17" s="80"/>
    </row>
    <row r="18" spans="2:21" s="76" customFormat="1" ht="15.75">
      <c r="B18" s="77" t="s">
        <v>202</v>
      </c>
      <c r="C18" s="78"/>
      <c r="D18" s="78"/>
      <c r="E18" s="78"/>
      <c r="F18" s="78"/>
      <c r="G18" s="78"/>
      <c r="H18" s="78"/>
      <c r="I18" s="78">
        <v>894.06</v>
      </c>
      <c r="J18" s="78">
        <v>1284.9</v>
      </c>
      <c r="K18" s="78">
        <v>1251.59</v>
      </c>
      <c r="L18" s="78">
        <v>1251.59</v>
      </c>
      <c r="M18" s="78">
        <f>815.42+222.56</f>
        <v>1037.98</v>
      </c>
      <c r="N18" s="78">
        <v>944.79</v>
      </c>
      <c r="O18" s="78">
        <v>944.79</v>
      </c>
      <c r="P18" s="79">
        <f t="shared" si="0"/>
        <v>7609.700000000001</v>
      </c>
      <c r="Q18" s="78">
        <v>5363.57</v>
      </c>
      <c r="R18" s="78">
        <f t="shared" si="1"/>
        <v>2246.130000000001</v>
      </c>
      <c r="S18" s="80"/>
      <c r="U18" s="80"/>
    </row>
    <row r="19" spans="2:19" s="81" customFormat="1" ht="15.75">
      <c r="B19" s="82" t="s">
        <v>98</v>
      </c>
      <c r="C19" s="83">
        <f>SUM(C4:C17)</f>
        <v>0</v>
      </c>
      <c r="D19" s="83">
        <f aca="true" t="shared" si="3" ref="D19:J19">D4+D9+D10+D11+D12+D13+D15+D16+D17+D5+D6+D7+D8+D14</f>
        <v>0</v>
      </c>
      <c r="E19" s="83">
        <f t="shared" si="3"/>
        <v>0</v>
      </c>
      <c r="F19" s="83">
        <f t="shared" si="3"/>
        <v>0</v>
      </c>
      <c r="G19" s="83">
        <f t="shared" si="3"/>
        <v>0</v>
      </c>
      <c r="H19" s="83">
        <f t="shared" si="3"/>
        <v>0</v>
      </c>
      <c r="I19" s="83">
        <f t="shared" si="3"/>
        <v>300559.88</v>
      </c>
      <c r="J19" s="83">
        <f t="shared" si="3"/>
        <v>404187.71</v>
      </c>
      <c r="K19" s="83">
        <f aca="true" t="shared" si="4" ref="K19:R19">K4+K9+K10+K11+K12+K13+K15+K16+K17+K5+K6+K7+K8+K14</f>
        <v>297953.45</v>
      </c>
      <c r="L19" s="83">
        <f t="shared" si="4"/>
        <v>297834.45</v>
      </c>
      <c r="M19" s="83">
        <f t="shared" si="4"/>
        <v>250382.66</v>
      </c>
      <c r="N19" s="83">
        <f t="shared" si="4"/>
        <v>290579.57</v>
      </c>
      <c r="O19" s="83">
        <f t="shared" si="4"/>
        <v>271592.79000000004</v>
      </c>
      <c r="P19" s="83">
        <f t="shared" si="4"/>
        <v>2113090.51</v>
      </c>
      <c r="Q19" s="83">
        <f t="shared" si="4"/>
        <v>1608417.432</v>
      </c>
      <c r="R19" s="83">
        <f t="shared" si="4"/>
        <v>504673.07799999986</v>
      </c>
      <c r="S19" s="84"/>
    </row>
    <row r="20" spans="2:19" s="93" customFormat="1" ht="15.75">
      <c r="B20" s="129" t="s">
        <v>220</v>
      </c>
      <c r="C20" s="94"/>
      <c r="D20" s="94"/>
      <c r="E20" s="94"/>
      <c r="F20" s="94"/>
      <c r="G20" s="94"/>
      <c r="H20" s="94"/>
      <c r="I20" s="94"/>
      <c r="J20" s="87"/>
      <c r="K20" s="87"/>
      <c r="L20" s="87"/>
      <c r="M20" s="87"/>
      <c r="N20" s="87"/>
      <c r="O20" s="87"/>
      <c r="P20" s="118">
        <v>118577.29500000011</v>
      </c>
      <c r="Q20" s="118">
        <f>P20</f>
        <v>118577.29500000011</v>
      </c>
      <c r="R20" s="94"/>
      <c r="S20" s="95"/>
    </row>
    <row r="21" spans="2:21" s="76" customFormat="1" ht="15.75">
      <c r="B21" s="206" t="s">
        <v>102</v>
      </c>
      <c r="C21" s="207"/>
      <c r="D21" s="89"/>
      <c r="E21" s="89"/>
      <c r="F21" s="89"/>
      <c r="G21" s="89"/>
      <c r="H21" s="89"/>
      <c r="I21" s="89"/>
      <c r="J21" s="90"/>
      <c r="K21" s="90"/>
      <c r="L21" s="90"/>
      <c r="M21" s="90"/>
      <c r="N21" s="90"/>
      <c r="O21" s="90"/>
      <c r="P21" s="79"/>
      <c r="Q21" s="90"/>
      <c r="R21" s="78"/>
      <c r="S21" s="91"/>
      <c r="T21" s="92">
        <f>Q21/2895.2/12</f>
        <v>0</v>
      </c>
      <c r="U21" s="92">
        <f>24.93-23.25</f>
        <v>1.6799999999999997</v>
      </c>
    </row>
    <row r="22" spans="2:19" s="76" customFormat="1" ht="15.75">
      <c r="B22" s="77" t="s">
        <v>59</v>
      </c>
      <c r="C22" s="78"/>
      <c r="D22" s="78"/>
      <c r="E22" s="78"/>
      <c r="F22" s="78"/>
      <c r="G22" s="78"/>
      <c r="H22" s="78"/>
      <c r="I22" s="78">
        <v>18998.03</v>
      </c>
      <c r="J22" s="79">
        <v>17166.94</v>
      </c>
      <c r="K22" s="79">
        <v>16460.52</v>
      </c>
      <c r="L22" s="79">
        <v>17042.33</v>
      </c>
      <c r="M22" s="79">
        <v>18784.2</v>
      </c>
      <c r="N22" s="79">
        <v>18862.76</v>
      </c>
      <c r="O22" s="79">
        <f>19236.68-330.29</f>
        <v>18906.39</v>
      </c>
      <c r="P22" s="79">
        <f t="shared" si="0"/>
        <v>126221.17</v>
      </c>
      <c r="Q22" s="79">
        <v>95078.41</v>
      </c>
      <c r="R22" s="78">
        <f t="shared" si="1"/>
        <v>31142.759999999995</v>
      </c>
      <c r="S22" s="80"/>
    </row>
    <row r="23" spans="2:19" s="76" customFormat="1" ht="15.75">
      <c r="B23" s="77" t="s">
        <v>60</v>
      </c>
      <c r="C23" s="78"/>
      <c r="D23" s="78"/>
      <c r="E23" s="78"/>
      <c r="F23" s="78"/>
      <c r="G23" s="78"/>
      <c r="H23" s="78"/>
      <c r="I23" s="78">
        <v>20057.31</v>
      </c>
      <c r="J23" s="79">
        <v>18125.55</v>
      </c>
      <c r="K23" s="79">
        <v>17856.66</v>
      </c>
      <c r="L23" s="79">
        <v>19273.45</v>
      </c>
      <c r="M23" s="79">
        <v>19751.98</v>
      </c>
      <c r="N23" s="79">
        <v>19591.07</v>
      </c>
      <c r="O23" s="79">
        <f>19862.47-491.65</f>
        <v>19370.82</v>
      </c>
      <c r="P23" s="79">
        <f t="shared" si="0"/>
        <v>134026.84</v>
      </c>
      <c r="Q23" s="79">
        <v>101490.45</v>
      </c>
      <c r="R23" s="78">
        <f t="shared" si="1"/>
        <v>32536.39</v>
      </c>
      <c r="S23" s="80"/>
    </row>
    <row r="24" spans="2:19" s="76" customFormat="1" ht="15.75">
      <c r="B24" s="77" t="s">
        <v>56</v>
      </c>
      <c r="C24" s="78"/>
      <c r="D24" s="78"/>
      <c r="E24" s="78"/>
      <c r="F24" s="78"/>
      <c r="G24" s="78"/>
      <c r="H24" s="78"/>
      <c r="I24" s="78">
        <v>60327.01</v>
      </c>
      <c r="J24" s="79">
        <v>54716.2</v>
      </c>
      <c r="K24" s="79">
        <v>54891.32</v>
      </c>
      <c r="L24" s="79">
        <v>69561.84</v>
      </c>
      <c r="M24" s="79">
        <v>56595.94</v>
      </c>
      <c r="N24" s="79">
        <v>66044.42</v>
      </c>
      <c r="O24" s="79">
        <f>57873.28-1410.36</f>
        <v>56462.92</v>
      </c>
      <c r="P24" s="79">
        <f t="shared" si="0"/>
        <v>418599.64999999997</v>
      </c>
      <c r="Q24" s="79">
        <v>305295.57</v>
      </c>
      <c r="R24" s="78">
        <f t="shared" si="1"/>
        <v>113304.07999999996</v>
      </c>
      <c r="S24" s="80"/>
    </row>
    <row r="25" spans="2:19" s="76" customFormat="1" ht="15.75">
      <c r="B25" s="77" t="s">
        <v>106</v>
      </c>
      <c r="C25" s="78"/>
      <c r="D25" s="78"/>
      <c r="E25" s="78"/>
      <c r="F25" s="78"/>
      <c r="G25" s="78"/>
      <c r="H25" s="78"/>
      <c r="I25" s="78"/>
      <c r="J25" s="78">
        <v>-548.06</v>
      </c>
      <c r="K25" s="79"/>
      <c r="L25" s="79">
        <v>20048.57</v>
      </c>
      <c r="M25" s="79">
        <v>167526.62</v>
      </c>
      <c r="N25" s="79">
        <v>176526.87</v>
      </c>
      <c r="O25" s="79">
        <v>280331.43</v>
      </c>
      <c r="P25" s="79">
        <f t="shared" si="0"/>
        <v>643885.4299999999</v>
      </c>
      <c r="Q25" s="79">
        <v>294893.69</v>
      </c>
      <c r="R25" s="78">
        <f t="shared" si="1"/>
        <v>348991.73999999993</v>
      </c>
      <c r="S25" s="80"/>
    </row>
    <row r="26" spans="2:20" s="76" customFormat="1" ht="15.75">
      <c r="B26" s="77" t="s">
        <v>58</v>
      </c>
      <c r="C26" s="78"/>
      <c r="D26" s="78"/>
      <c r="E26" s="78"/>
      <c r="F26" s="78"/>
      <c r="G26" s="78"/>
      <c r="H26" s="78"/>
      <c r="I26" s="78">
        <v>31814.87</v>
      </c>
      <c r="J26" s="79">
        <v>29259.15</v>
      </c>
      <c r="K26" s="79">
        <v>31197.04</v>
      </c>
      <c r="L26" s="79">
        <v>35323.88</v>
      </c>
      <c r="M26" s="79">
        <v>32187.28</v>
      </c>
      <c r="N26" s="79">
        <v>31358.09</v>
      </c>
      <c r="O26" s="79">
        <v>30569.27</v>
      </c>
      <c r="P26" s="79">
        <f t="shared" si="0"/>
        <v>221709.58</v>
      </c>
      <c r="Q26" s="79">
        <v>167949.05</v>
      </c>
      <c r="R26" s="78">
        <f t="shared" si="1"/>
        <v>53760.53</v>
      </c>
      <c r="S26" s="80"/>
      <c r="T26" s="80"/>
    </row>
    <row r="27" spans="2:19" s="81" customFormat="1" ht="15.75">
      <c r="B27" s="82" t="s">
        <v>201</v>
      </c>
      <c r="C27" s="83">
        <f aca="true" t="shared" si="5" ref="C27:O27">C28+C29+C30+C31+C32</f>
        <v>0</v>
      </c>
      <c r="D27" s="83">
        <f t="shared" si="5"/>
        <v>0</v>
      </c>
      <c r="E27" s="83">
        <f t="shared" si="5"/>
        <v>0</v>
      </c>
      <c r="F27" s="83">
        <f t="shared" si="5"/>
        <v>0</v>
      </c>
      <c r="G27" s="83">
        <f t="shared" si="5"/>
        <v>0</v>
      </c>
      <c r="H27" s="83">
        <f t="shared" si="5"/>
        <v>0</v>
      </c>
      <c r="I27" s="83">
        <f>I28+I29+I30+I31+I32</f>
        <v>12587.77</v>
      </c>
      <c r="J27" s="83">
        <f t="shared" si="5"/>
        <v>20356.02</v>
      </c>
      <c r="K27" s="83">
        <f t="shared" si="5"/>
        <v>19732.809999999998</v>
      </c>
      <c r="L27" s="83">
        <f t="shared" si="5"/>
        <v>24712.909999999996</v>
      </c>
      <c r="M27" s="83">
        <f t="shared" si="5"/>
        <v>45274.78</v>
      </c>
      <c r="N27" s="83">
        <f t="shared" si="5"/>
        <v>61586.75</v>
      </c>
      <c r="O27" s="83">
        <f t="shared" si="5"/>
        <v>78001.62</v>
      </c>
      <c r="P27" s="86">
        <f t="shared" si="0"/>
        <v>262252.66</v>
      </c>
      <c r="Q27" s="83">
        <f>Q28+Q29+Q30+Q31+Q32</f>
        <v>127392.89</v>
      </c>
      <c r="R27" s="83">
        <f t="shared" si="1"/>
        <v>134859.76999999996</v>
      </c>
      <c r="S27" s="84"/>
    </row>
    <row r="28" spans="2:19" s="93" customFormat="1" ht="15.75">
      <c r="B28" s="85" t="s">
        <v>125</v>
      </c>
      <c r="C28" s="94"/>
      <c r="D28" s="94"/>
      <c r="E28" s="94"/>
      <c r="F28" s="94"/>
      <c r="G28" s="94"/>
      <c r="H28" s="94"/>
      <c r="I28" s="94">
        <v>2144.94</v>
      </c>
      <c r="J28" s="94">
        <v>1375.4</v>
      </c>
      <c r="K28" s="94">
        <v>3174</v>
      </c>
      <c r="L28" s="94">
        <v>3385.6</v>
      </c>
      <c r="M28" s="94">
        <v>2750.8</v>
      </c>
      <c r="N28" s="94">
        <v>2433.4</v>
      </c>
      <c r="O28" s="94">
        <v>2539.2</v>
      </c>
      <c r="P28" s="87">
        <f t="shared" si="0"/>
        <v>17803.34</v>
      </c>
      <c r="Q28" s="94">
        <v>12513.34</v>
      </c>
      <c r="R28" s="94">
        <f t="shared" si="1"/>
        <v>5290</v>
      </c>
      <c r="S28" s="95">
        <f>P28+P29</f>
        <v>33290.69</v>
      </c>
    </row>
    <row r="29" spans="2:19" s="93" customFormat="1" ht="15.75">
      <c r="B29" s="85" t="s">
        <v>159</v>
      </c>
      <c r="C29" s="94"/>
      <c r="D29" s="94"/>
      <c r="E29" s="94"/>
      <c r="F29" s="94"/>
      <c r="G29" s="94"/>
      <c r="H29" s="94"/>
      <c r="I29" s="94">
        <v>1904.57</v>
      </c>
      <c r="J29" s="94">
        <v>2846.2</v>
      </c>
      <c r="K29" s="94">
        <v>2169.86</v>
      </c>
      <c r="L29" s="94">
        <v>2846.18</v>
      </c>
      <c r="M29" s="94">
        <v>2028.96</v>
      </c>
      <c r="N29" s="94">
        <v>1831.7</v>
      </c>
      <c r="O29" s="94">
        <v>1859.88</v>
      </c>
      <c r="P29" s="87">
        <f t="shared" si="0"/>
        <v>15487.350000000002</v>
      </c>
      <c r="Q29" s="94">
        <v>11767.57</v>
      </c>
      <c r="R29" s="94">
        <f t="shared" si="1"/>
        <v>3719.7800000000025</v>
      </c>
      <c r="S29" s="95"/>
    </row>
    <row r="30" spans="2:19" s="93" customFormat="1" ht="15.75">
      <c r="B30" s="85" t="s">
        <v>160</v>
      </c>
      <c r="C30" s="94"/>
      <c r="D30" s="94"/>
      <c r="E30" s="94"/>
      <c r="F30" s="94"/>
      <c r="G30" s="94"/>
      <c r="H30" s="94"/>
      <c r="I30" s="94">
        <v>1561.34</v>
      </c>
      <c r="J30" s="94">
        <v>2046.3</v>
      </c>
      <c r="K30" s="94">
        <v>1920.65</v>
      </c>
      <c r="L30" s="94">
        <v>2387.35</v>
      </c>
      <c r="M30" s="94">
        <v>1759.1</v>
      </c>
      <c r="N30" s="94">
        <v>1579.6</v>
      </c>
      <c r="O30" s="94">
        <v>1615.5</v>
      </c>
      <c r="P30" s="87">
        <f t="shared" si="0"/>
        <v>12869.84</v>
      </c>
      <c r="Q30" s="94">
        <v>9602.4</v>
      </c>
      <c r="R30" s="94">
        <f t="shared" si="1"/>
        <v>3267.4400000000005</v>
      </c>
      <c r="S30" s="95"/>
    </row>
    <row r="31" spans="2:19" s="93" customFormat="1" ht="15.75">
      <c r="B31" s="85" t="s">
        <v>120</v>
      </c>
      <c r="C31" s="94"/>
      <c r="D31" s="94"/>
      <c r="E31" s="94"/>
      <c r="F31" s="94"/>
      <c r="G31" s="94"/>
      <c r="H31" s="94"/>
      <c r="I31" s="94">
        <v>6976.92</v>
      </c>
      <c r="J31" s="94">
        <v>14088.12</v>
      </c>
      <c r="K31" s="94">
        <v>12468.3</v>
      </c>
      <c r="L31" s="94">
        <v>12318.54</v>
      </c>
      <c r="M31" s="94">
        <v>10240.55</v>
      </c>
      <c r="N31" s="94">
        <v>9173.99</v>
      </c>
      <c r="O31" s="94">
        <v>11272.25</v>
      </c>
      <c r="P31" s="87">
        <f t="shared" si="0"/>
        <v>76538.66999999998</v>
      </c>
      <c r="Q31" s="94">
        <v>56124.33</v>
      </c>
      <c r="R31" s="94">
        <f t="shared" si="1"/>
        <v>20414.339999999982</v>
      </c>
      <c r="S31" s="95"/>
    </row>
    <row r="32" spans="2:19" s="93" customFormat="1" ht="15.75">
      <c r="B32" s="85" t="s">
        <v>106</v>
      </c>
      <c r="C32" s="94"/>
      <c r="D32" s="94"/>
      <c r="E32" s="94"/>
      <c r="F32" s="94"/>
      <c r="G32" s="94"/>
      <c r="H32" s="94"/>
      <c r="I32" s="94"/>
      <c r="J32" s="94"/>
      <c r="K32" s="94"/>
      <c r="L32" s="94">
        <v>3775.24</v>
      </c>
      <c r="M32" s="94">
        <v>28495.37</v>
      </c>
      <c r="N32" s="94">
        <v>46568.06</v>
      </c>
      <c r="O32" s="94">
        <v>60714.79</v>
      </c>
      <c r="P32" s="87">
        <f t="shared" si="0"/>
        <v>139553.46</v>
      </c>
      <c r="Q32" s="94">
        <v>37385.25</v>
      </c>
      <c r="R32" s="94">
        <f t="shared" si="1"/>
        <v>102168.20999999999</v>
      </c>
      <c r="S32" s="95"/>
    </row>
    <row r="33" spans="2:19" s="81" customFormat="1" ht="15.75">
      <c r="B33" s="82" t="s">
        <v>110</v>
      </c>
      <c r="C33" s="83"/>
      <c r="D33" s="83" t="e">
        <f>D22+D23+D24+D25+D26+#REF!+#REF!+#REF!+#REF!+D27</f>
        <v>#REF!</v>
      </c>
      <c r="E33" s="83" t="e">
        <f>E22+E23+E24+E25+E26+#REF!+#REF!+#REF!+#REF!+E27</f>
        <v>#REF!</v>
      </c>
      <c r="F33" s="83" t="e">
        <f>F22+F23+F24+F25+F26+#REF!+#REF!+#REF!+#REF!+F27</f>
        <v>#REF!</v>
      </c>
      <c r="G33" s="83" t="e">
        <f>G22+G23+G24+G25+G26+#REF!+#REF!+#REF!+#REF!+G27</f>
        <v>#REF!</v>
      </c>
      <c r="H33" s="83" t="e">
        <f>H22+H23+H24+H25+H26+#REF!+#REF!+#REF!+#REF!+H27</f>
        <v>#REF!</v>
      </c>
      <c r="I33" s="83">
        <f>I22+I23+I24+I25+I26+I27</f>
        <v>143784.99</v>
      </c>
      <c r="J33" s="83">
        <f aca="true" t="shared" si="6" ref="J33:R33">J22+J23+J24+J25+J26+J27</f>
        <v>139075.8</v>
      </c>
      <c r="K33" s="83">
        <f t="shared" si="6"/>
        <v>140138.35</v>
      </c>
      <c r="L33" s="83">
        <f t="shared" si="6"/>
        <v>185962.98</v>
      </c>
      <c r="M33" s="83">
        <f t="shared" si="6"/>
        <v>340120.80000000005</v>
      </c>
      <c r="N33" s="83">
        <f t="shared" si="6"/>
        <v>373969.96</v>
      </c>
      <c r="O33" s="83">
        <f t="shared" si="6"/>
        <v>483642.45</v>
      </c>
      <c r="P33" s="83">
        <f t="shared" si="6"/>
        <v>1806695.3299999998</v>
      </c>
      <c r="Q33" s="83">
        <f t="shared" si="6"/>
        <v>1092100.0599999998</v>
      </c>
      <c r="R33" s="83">
        <f t="shared" si="6"/>
        <v>714595.2699999998</v>
      </c>
      <c r="S33" s="84"/>
    </row>
    <row r="34" spans="2:19" s="81" customFormat="1" ht="15.75">
      <c r="B34" s="82" t="s">
        <v>111</v>
      </c>
      <c r="C34" s="83"/>
      <c r="D34" s="83" t="e">
        <f aca="true" t="shared" si="7" ref="D34:P34">D33+D19</f>
        <v>#REF!</v>
      </c>
      <c r="E34" s="83" t="e">
        <f t="shared" si="7"/>
        <v>#REF!</v>
      </c>
      <c r="F34" s="83" t="e">
        <f t="shared" si="7"/>
        <v>#REF!</v>
      </c>
      <c r="G34" s="83" t="e">
        <f t="shared" si="7"/>
        <v>#REF!</v>
      </c>
      <c r="H34" s="83" t="e">
        <f t="shared" si="7"/>
        <v>#REF!</v>
      </c>
      <c r="I34" s="83">
        <f t="shared" si="7"/>
        <v>444344.87</v>
      </c>
      <c r="J34" s="83">
        <f t="shared" si="7"/>
        <v>543263.51</v>
      </c>
      <c r="K34" s="83">
        <f t="shared" si="7"/>
        <v>438091.80000000005</v>
      </c>
      <c r="L34" s="83">
        <f t="shared" si="7"/>
        <v>483797.43000000005</v>
      </c>
      <c r="M34" s="83">
        <f t="shared" si="7"/>
        <v>590503.4600000001</v>
      </c>
      <c r="N34" s="83">
        <f t="shared" si="7"/>
        <v>664549.53</v>
      </c>
      <c r="O34" s="83">
        <f t="shared" si="7"/>
        <v>755235.24</v>
      </c>
      <c r="P34" s="83">
        <f t="shared" si="7"/>
        <v>3919785.84</v>
      </c>
      <c r="Q34" s="83">
        <f>Q33+Q19+Q20</f>
        <v>2819094.7869999995</v>
      </c>
      <c r="R34" s="83">
        <f t="shared" si="1"/>
        <v>1100691.0530000003</v>
      </c>
      <c r="S34" s="84"/>
    </row>
    <row r="35" spans="2:19" s="81" customFormat="1" ht="1.5" customHeight="1">
      <c r="B35" s="85" t="s">
        <v>99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 t="e">
        <f>#REF!+#REF!</f>
        <v>#REF!</v>
      </c>
      <c r="R35" s="83"/>
      <c r="S35" s="84"/>
    </row>
    <row r="36" spans="2:19" s="81" customFormat="1" ht="15.75" hidden="1">
      <c r="B36" s="85" t="s">
        <v>100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 t="e">
        <f>#REF!</f>
        <v>#REF!</v>
      </c>
      <c r="R36" s="83"/>
      <c r="S36" s="84"/>
    </row>
    <row r="37" spans="2:19" s="81" customFormat="1" ht="15.75" hidden="1">
      <c r="B37" s="88" t="s">
        <v>101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 t="e">
        <f>#REF!+#REF!</f>
        <v>#REF!</v>
      </c>
      <c r="R37" s="96"/>
      <c r="S37" s="84"/>
    </row>
    <row r="38" spans="2:19" s="81" customFormat="1" ht="15.75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84"/>
    </row>
    <row r="39" spans="1:19" s="101" customFormat="1" ht="17.25" customHeight="1">
      <c r="A39" s="99"/>
      <c r="B39" s="209" t="s">
        <v>200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1"/>
      <c r="S39" s="100"/>
    </row>
    <row r="40" spans="1:19" s="101" customFormat="1" ht="17.25" customHeight="1">
      <c r="A40" s="102"/>
      <c r="B40" s="212" t="s">
        <v>92</v>
      </c>
      <c r="C40" s="212"/>
      <c r="D40" s="103"/>
      <c r="E40" s="103"/>
      <c r="F40" s="103"/>
      <c r="G40" s="103"/>
      <c r="H40" s="103"/>
      <c r="I40" s="103"/>
      <c r="J40" s="104"/>
      <c r="K40" s="104"/>
      <c r="L40" s="104"/>
      <c r="M40" s="104"/>
      <c r="N40" s="104"/>
      <c r="O40" s="104"/>
      <c r="P40" s="104"/>
      <c r="Q40" s="100"/>
      <c r="R40" s="105"/>
      <c r="S40" s="100"/>
    </row>
    <row r="41" spans="2:19" s="64" customFormat="1" ht="38.25" customHeight="1">
      <c r="B41" s="65"/>
      <c r="C41" s="66" t="s">
        <v>217</v>
      </c>
      <c r="D41" s="67" t="s">
        <v>77</v>
      </c>
      <c r="E41" s="67" t="s">
        <v>78</v>
      </c>
      <c r="F41" s="67" t="s">
        <v>79</v>
      </c>
      <c r="G41" s="67" t="s">
        <v>80</v>
      </c>
      <c r="H41" s="67" t="s">
        <v>81</v>
      </c>
      <c r="I41" s="67" t="s">
        <v>82</v>
      </c>
      <c r="J41" s="67" t="s">
        <v>83</v>
      </c>
      <c r="K41" s="67" t="s">
        <v>84</v>
      </c>
      <c r="L41" s="67" t="s">
        <v>85</v>
      </c>
      <c r="M41" s="67" t="s">
        <v>86</v>
      </c>
      <c r="N41" s="67" t="s">
        <v>87</v>
      </c>
      <c r="O41" s="67" t="s">
        <v>88</v>
      </c>
      <c r="P41" s="67" t="s">
        <v>218</v>
      </c>
      <c r="Q41" s="66" t="s">
        <v>219</v>
      </c>
      <c r="R41" s="66" t="s">
        <v>91</v>
      </c>
      <c r="S41" s="68"/>
    </row>
    <row r="42" spans="1:21" s="114" customFormat="1" ht="14.25">
      <c r="A42" s="110">
        <v>1</v>
      </c>
      <c r="B42" s="152" t="s">
        <v>138</v>
      </c>
      <c r="C42" s="112">
        <f>C43+C47+C48+C49+C50+C51+C52+C53+C58</f>
        <v>0</v>
      </c>
      <c r="D42" s="112">
        <f>D43+D47+D48+D49+D50+D51+D52+D53+D58+D54+D55+D56+D57</f>
        <v>0</v>
      </c>
      <c r="E42" s="112">
        <f>E43+E47+E48+E49+E50+E51+E52+E53+E58+E54+E55+E56+E57+F57</f>
        <v>0</v>
      </c>
      <c r="F42" s="112">
        <f aca="true" t="shared" si="8" ref="F42:O42">F43+F47+F48+F49+F50+F51+F52+F53+F58+F54+F55+F56+F57+G57</f>
        <v>0</v>
      </c>
      <c r="G42" s="112">
        <f t="shared" si="8"/>
        <v>0</v>
      </c>
      <c r="H42" s="112">
        <f t="shared" si="8"/>
        <v>0</v>
      </c>
      <c r="I42" s="112">
        <f t="shared" si="8"/>
        <v>137464.64</v>
      </c>
      <c r="J42" s="112">
        <f t="shared" si="8"/>
        <v>137724.59999999998</v>
      </c>
      <c r="K42" s="112">
        <f t="shared" si="8"/>
        <v>145341.31</v>
      </c>
      <c r="L42" s="112">
        <f t="shared" si="8"/>
        <v>134743.34</v>
      </c>
      <c r="M42" s="112">
        <f t="shared" si="8"/>
        <v>143195.29999999996</v>
      </c>
      <c r="N42" s="112">
        <f t="shared" si="8"/>
        <v>143991.11</v>
      </c>
      <c r="O42" s="112">
        <f t="shared" si="8"/>
        <v>143232.02</v>
      </c>
      <c r="P42" s="112">
        <f aca="true" t="shared" si="9" ref="P42:P67">SUM(D42:O42)</f>
        <v>985692.32</v>
      </c>
      <c r="Q42" s="112">
        <f>Q43+Q47+Q48+Q49+Q50+Q51+Q52+Q53+Q58</f>
        <v>751593.1500000001</v>
      </c>
      <c r="R42" s="160">
        <f>C42+P42-Q42</f>
        <v>234099.1699999998</v>
      </c>
      <c r="S42" s="113"/>
      <c r="T42" s="114" t="e">
        <f>#REF!/3</f>
        <v>#REF!</v>
      </c>
      <c r="U42" s="113" t="e">
        <f>#REF!+#REF!</f>
        <v>#REF!</v>
      </c>
    </row>
    <row r="43" spans="1:21" ht="31.5" customHeight="1">
      <c r="A43" s="122"/>
      <c r="B43" s="151" t="s">
        <v>132</v>
      </c>
      <c r="C43" s="165"/>
      <c r="D43" s="165">
        <f>D44+D45+D46</f>
        <v>0</v>
      </c>
      <c r="E43" s="165">
        <f aca="true" t="shared" si="10" ref="E43:R43">E44+E45+E46</f>
        <v>0</v>
      </c>
      <c r="F43" s="165">
        <f t="shared" si="10"/>
        <v>0</v>
      </c>
      <c r="G43" s="165">
        <f t="shared" si="10"/>
        <v>0</v>
      </c>
      <c r="H43" s="165">
        <f t="shared" si="10"/>
        <v>0</v>
      </c>
      <c r="I43" s="165">
        <f t="shared" si="10"/>
        <v>51285.78</v>
      </c>
      <c r="J43" s="165">
        <f t="shared" si="10"/>
        <v>51285.759999999995</v>
      </c>
      <c r="K43" s="165">
        <f t="shared" si="10"/>
        <v>49450.979999999996</v>
      </c>
      <c r="L43" s="165">
        <f t="shared" si="10"/>
        <v>51285.8</v>
      </c>
      <c r="M43" s="165">
        <f t="shared" si="10"/>
        <v>57921.9</v>
      </c>
      <c r="N43" s="165">
        <f>N44+N45+N46</f>
        <v>52521.41</v>
      </c>
      <c r="O43" s="165">
        <f t="shared" si="10"/>
        <v>58638.119999999995</v>
      </c>
      <c r="P43" s="165">
        <f t="shared" si="10"/>
        <v>372389.75000000006</v>
      </c>
      <c r="Q43" s="165">
        <f t="shared" si="10"/>
        <v>313751.63000000006</v>
      </c>
      <c r="R43" s="165">
        <f t="shared" si="10"/>
        <v>58638.11999999999</v>
      </c>
      <c r="T43" s="114" t="e">
        <f>#REF!/3</f>
        <v>#REF!</v>
      </c>
      <c r="U43" s="126" t="e">
        <f>#REF!+#REF!</f>
        <v>#REF!</v>
      </c>
    </row>
    <row r="44" spans="1:20" s="121" customFormat="1" ht="15">
      <c r="A44" s="115"/>
      <c r="B44" s="150" t="s">
        <v>126</v>
      </c>
      <c r="C44" s="166"/>
      <c r="D44" s="166">
        <f>январь!E11</f>
        <v>0</v>
      </c>
      <c r="E44" s="166">
        <f>февраль!E11</f>
        <v>0</v>
      </c>
      <c r="F44" s="166">
        <f>март!E11</f>
        <v>0</v>
      </c>
      <c r="G44" s="166">
        <f>апрель!E11</f>
        <v>0</v>
      </c>
      <c r="H44" s="116">
        <f>май!E11</f>
        <v>0</v>
      </c>
      <c r="I44" s="116">
        <f>июнь!E11</f>
        <v>41468.7</v>
      </c>
      <c r="J44" s="116">
        <f>июль!E11</f>
        <v>41468.7</v>
      </c>
      <c r="K44" s="117">
        <f>август!E11</f>
        <v>39633.89</v>
      </c>
      <c r="L44" s="117">
        <f>сентябрь!E11</f>
        <v>41468.72</v>
      </c>
      <c r="M44" s="117">
        <f>октябрь!E11</f>
        <v>48104.83</v>
      </c>
      <c r="N44" s="117">
        <f>ноябрь!E11</f>
        <v>42704.33</v>
      </c>
      <c r="O44" s="117">
        <f>декабрь!E11</f>
        <v>48821.02</v>
      </c>
      <c r="P44" s="118">
        <f t="shared" si="9"/>
        <v>303670.19000000006</v>
      </c>
      <c r="Q44" s="119">
        <f>P44-O44</f>
        <v>254849.17000000007</v>
      </c>
      <c r="R44" s="154">
        <f aca="true" t="shared" si="11" ref="R44:R107">C44+P44-Q44</f>
        <v>48821.01999999999</v>
      </c>
      <c r="S44" s="120"/>
      <c r="T44" s="114"/>
    </row>
    <row r="45" spans="1:20" s="121" customFormat="1" ht="15">
      <c r="A45" s="115"/>
      <c r="B45" s="150" t="s">
        <v>127</v>
      </c>
      <c r="C45" s="166"/>
      <c r="D45" s="166">
        <f>январь!E12</f>
        <v>0</v>
      </c>
      <c r="E45" s="166">
        <f>февраль!E12</f>
        <v>0</v>
      </c>
      <c r="F45" s="166">
        <f>март!E12</f>
        <v>0</v>
      </c>
      <c r="G45" s="166">
        <f>апрель!E12</f>
        <v>0</v>
      </c>
      <c r="H45" s="116">
        <f>май!E12</f>
        <v>0</v>
      </c>
      <c r="I45" s="116">
        <f>июнь!E12</f>
        <v>9817.08</v>
      </c>
      <c r="J45" s="116">
        <f>июль!E12</f>
        <v>9817.06</v>
      </c>
      <c r="K45" s="117">
        <f>август!E12</f>
        <v>9817.09</v>
      </c>
      <c r="L45" s="117">
        <f>сентябрь!E12</f>
        <v>9817.08</v>
      </c>
      <c r="M45" s="117">
        <f>октябрь!E12</f>
        <v>9817.07</v>
      </c>
      <c r="N45" s="117">
        <f>ноябрь!E12</f>
        <v>9817.08</v>
      </c>
      <c r="O45" s="117">
        <f>декабрь!E12</f>
        <v>9817.1</v>
      </c>
      <c r="P45" s="118">
        <f t="shared" si="9"/>
        <v>68719.56</v>
      </c>
      <c r="Q45" s="119">
        <f>P45-O45</f>
        <v>58902.46</v>
      </c>
      <c r="R45" s="154">
        <f t="shared" si="11"/>
        <v>9817.099999999999</v>
      </c>
      <c r="S45" s="120"/>
      <c r="T45" s="114"/>
    </row>
    <row r="46" spans="1:20" s="121" customFormat="1" ht="15">
      <c r="A46" s="115"/>
      <c r="B46" s="150" t="s">
        <v>133</v>
      </c>
      <c r="C46" s="166"/>
      <c r="D46" s="166">
        <f>январь!E13</f>
        <v>0</v>
      </c>
      <c r="E46" s="166"/>
      <c r="F46" s="166">
        <f>март!E13</f>
        <v>0</v>
      </c>
      <c r="G46" s="166">
        <f>апрель!E13</f>
        <v>0</v>
      </c>
      <c r="H46" s="116">
        <f>май!E13</f>
        <v>0</v>
      </c>
      <c r="I46" s="116">
        <f>июнь!E13</f>
        <v>0</v>
      </c>
      <c r="J46" s="116">
        <f>июль!E13</f>
        <v>0</v>
      </c>
      <c r="K46" s="117">
        <f>август!E13</f>
        <v>0</v>
      </c>
      <c r="L46" s="117">
        <f>сентябрь!E13</f>
        <v>0</v>
      </c>
      <c r="M46" s="117">
        <f>октябрь!E13</f>
        <v>0</v>
      </c>
      <c r="N46" s="117">
        <f>ноябрь!E13</f>
        <v>0</v>
      </c>
      <c r="O46" s="117">
        <f>декабрь!E13</f>
        <v>0</v>
      </c>
      <c r="P46" s="124">
        <f t="shared" si="9"/>
        <v>0</v>
      </c>
      <c r="Q46" s="119"/>
      <c r="R46" s="154">
        <f t="shared" si="11"/>
        <v>0</v>
      </c>
      <c r="S46" s="120"/>
      <c r="T46" s="114"/>
    </row>
    <row r="47" spans="1:20" ht="15">
      <c r="A47" s="122"/>
      <c r="B47" s="155" t="s">
        <v>128</v>
      </c>
      <c r="C47" s="165"/>
      <c r="D47" s="165">
        <f>январь!F28-Свод!D53</f>
        <v>0</v>
      </c>
      <c r="E47" s="165">
        <f>февраль!F28-Свод!E53</f>
        <v>0</v>
      </c>
      <c r="F47" s="165">
        <f>март!F28-F48</f>
        <v>0</v>
      </c>
      <c r="G47" s="166">
        <f>апрель!F28-F48</f>
        <v>0</v>
      </c>
      <c r="H47" s="124">
        <f>май!F28-Свод!H53</f>
        <v>0</v>
      </c>
      <c r="I47" s="124">
        <f>июнь!F28-Свод!I53</f>
        <v>630</v>
      </c>
      <c r="J47" s="125">
        <f>июль!F28-Свод!J53</f>
        <v>855</v>
      </c>
      <c r="K47" s="125">
        <f>август!F28-Свод!K53</f>
        <v>423</v>
      </c>
      <c r="L47" s="125">
        <f>сентябрь!F28-Свод!L53</f>
        <v>398</v>
      </c>
      <c r="M47" s="125">
        <f>октябрь!F28-Свод!M53</f>
        <v>524</v>
      </c>
      <c r="N47" s="125">
        <f>ноябрь!F28-Свод!N53</f>
        <v>5550.48</v>
      </c>
      <c r="O47" s="125">
        <f>декабрь!F28-Свод!O53</f>
        <v>368</v>
      </c>
      <c r="P47" s="124">
        <f t="shared" si="9"/>
        <v>8748.48</v>
      </c>
      <c r="Q47" s="125">
        <f>P47</f>
        <v>8748.48</v>
      </c>
      <c r="R47" s="154">
        <f t="shared" si="11"/>
        <v>0</v>
      </c>
      <c r="T47" s="114"/>
    </row>
    <row r="48" spans="1:20" ht="15">
      <c r="A48" s="122"/>
      <c r="B48" s="155" t="s">
        <v>129</v>
      </c>
      <c r="C48" s="165"/>
      <c r="D48" s="165">
        <f>январь!F14</f>
        <v>0</v>
      </c>
      <c r="E48" s="165">
        <f>февраль!F14</f>
        <v>0</v>
      </c>
      <c r="F48" s="165">
        <f>март!F14</f>
        <v>0</v>
      </c>
      <c r="G48" s="166">
        <f>апрель!F14</f>
        <v>0</v>
      </c>
      <c r="H48" s="124">
        <f>май!G14</f>
        <v>0</v>
      </c>
      <c r="I48" s="124">
        <f>июнь!G14</f>
        <v>250</v>
      </c>
      <c r="J48" s="125">
        <f>июль!G14</f>
        <v>220</v>
      </c>
      <c r="K48" s="125">
        <f>август!G14</f>
        <v>246</v>
      </c>
      <c r="L48" s="125">
        <f>сентябрь!G14</f>
        <v>248</v>
      </c>
      <c r="M48" s="125">
        <f>октябрь!G14</f>
        <v>252</v>
      </c>
      <c r="N48" s="125">
        <f>ноябрь!G14</f>
        <v>430.7</v>
      </c>
      <c r="O48" s="125">
        <f>декабрь!G14</f>
        <v>248</v>
      </c>
      <c r="P48" s="124">
        <f t="shared" si="9"/>
        <v>1894.7</v>
      </c>
      <c r="Q48" s="125">
        <f>P48</f>
        <v>1894.7</v>
      </c>
      <c r="R48" s="154">
        <f t="shared" si="11"/>
        <v>0</v>
      </c>
      <c r="T48" s="114"/>
    </row>
    <row r="49" spans="1:20" ht="15">
      <c r="A49" s="122"/>
      <c r="B49" s="157" t="s">
        <v>21</v>
      </c>
      <c r="C49" s="165"/>
      <c r="D49" s="166">
        <f>январь!E15</f>
        <v>0</v>
      </c>
      <c r="E49" s="165">
        <f>февраль!F15</f>
        <v>0</v>
      </c>
      <c r="F49" s="165">
        <f>март!G15</f>
        <v>0</v>
      </c>
      <c r="G49" s="166">
        <f>апрель!E15</f>
        <v>0</v>
      </c>
      <c r="H49" s="124">
        <f>май!G15</f>
        <v>0</v>
      </c>
      <c r="I49" s="124">
        <f>июнь!G15</f>
        <v>46428.48</v>
      </c>
      <c r="J49" s="125">
        <f>июль!G15</f>
        <v>46428.48</v>
      </c>
      <c r="K49" s="125">
        <f>август!G15</f>
        <v>46428.48</v>
      </c>
      <c r="L49" s="125">
        <f>сентябрь!G15</f>
        <v>46428.48</v>
      </c>
      <c r="M49" s="125">
        <f>октябрь!G15</f>
        <v>46428.48</v>
      </c>
      <c r="N49" s="125">
        <f>ноябрь!G15</f>
        <v>46428.48</v>
      </c>
      <c r="O49" s="125">
        <f>декабрь!G15</f>
        <v>46428.48</v>
      </c>
      <c r="P49" s="124">
        <f t="shared" si="9"/>
        <v>324999.36</v>
      </c>
      <c r="Q49" s="125">
        <f>Q11</f>
        <v>243477.13</v>
      </c>
      <c r="R49" s="154">
        <f t="shared" si="11"/>
        <v>81522.22999999998</v>
      </c>
      <c r="T49" s="114"/>
    </row>
    <row r="50" spans="1:20" ht="15.75">
      <c r="A50" s="122"/>
      <c r="B50" s="77" t="s">
        <v>166</v>
      </c>
      <c r="C50" s="165"/>
      <c r="D50" s="165">
        <f>январь!E16</f>
        <v>0</v>
      </c>
      <c r="E50" s="165">
        <f>февраль!E16</f>
        <v>0</v>
      </c>
      <c r="F50" s="165">
        <f>март!G16</f>
        <v>0</v>
      </c>
      <c r="G50" s="166">
        <f>апрель!E16</f>
        <v>0</v>
      </c>
      <c r="H50" s="124">
        <f>май!G16</f>
        <v>0</v>
      </c>
      <c r="I50" s="124">
        <f>июнь!G16</f>
        <v>26654.9</v>
      </c>
      <c r="J50" s="125">
        <f>июль!G16</f>
        <v>26654.9</v>
      </c>
      <c r="K50" s="125">
        <f>август!G16</f>
        <v>26654.9</v>
      </c>
      <c r="L50" s="125">
        <f>сентябрь!G16</f>
        <v>26654.9</v>
      </c>
      <c r="M50" s="125">
        <f>октябрь!G16</f>
        <v>26654.9</v>
      </c>
      <c r="N50" s="125">
        <f>ноябрь!G16</f>
        <v>26654.9</v>
      </c>
      <c r="O50" s="125">
        <f>декабрь!G16</f>
        <v>26654.9</v>
      </c>
      <c r="P50" s="124">
        <f t="shared" si="9"/>
        <v>186584.3</v>
      </c>
      <c r="Q50" s="125">
        <f>Q10</f>
        <v>128223.79</v>
      </c>
      <c r="R50" s="154">
        <f t="shared" si="11"/>
        <v>58360.509999999995</v>
      </c>
      <c r="T50" s="114"/>
    </row>
    <row r="51" spans="1:20" ht="15">
      <c r="A51" s="122"/>
      <c r="B51" s="155" t="s">
        <v>130</v>
      </c>
      <c r="C51" s="165"/>
      <c r="D51" s="165">
        <f>январь!E17</f>
        <v>0</v>
      </c>
      <c r="E51" s="165">
        <f>февраль!E17</f>
        <v>0</v>
      </c>
      <c r="F51" s="165">
        <f>март!G17</f>
        <v>0</v>
      </c>
      <c r="G51" s="166">
        <f>апрель!E17</f>
        <v>0</v>
      </c>
      <c r="H51" s="124">
        <f>май!G17</f>
        <v>0</v>
      </c>
      <c r="I51" s="124">
        <f>июнь!G17</f>
        <v>931.8</v>
      </c>
      <c r="J51" s="125">
        <f>июль!G17</f>
        <v>931.8</v>
      </c>
      <c r="K51" s="125">
        <f>август!G17</f>
        <v>931.8</v>
      </c>
      <c r="L51" s="125">
        <f>сентябрь!G17</f>
        <v>931.8</v>
      </c>
      <c r="M51" s="125">
        <f>октябрь!G17</f>
        <v>931.8</v>
      </c>
      <c r="N51" s="125">
        <f>ноябрь!G17</f>
        <v>931.8</v>
      </c>
      <c r="O51" s="125">
        <f>декабрь!G17</f>
        <v>931.8</v>
      </c>
      <c r="P51" s="124">
        <f t="shared" si="9"/>
        <v>6522.6</v>
      </c>
      <c r="Q51" s="125">
        <f>P51-O51</f>
        <v>5590.8</v>
      </c>
      <c r="R51" s="154">
        <f t="shared" si="11"/>
        <v>931.8000000000002</v>
      </c>
      <c r="T51" s="114"/>
    </row>
    <row r="52" spans="1:20" ht="15">
      <c r="A52" s="122"/>
      <c r="B52" s="155" t="s">
        <v>131</v>
      </c>
      <c r="C52" s="165"/>
      <c r="D52" s="165">
        <f>январь!E18</f>
        <v>0</v>
      </c>
      <c r="E52" s="165">
        <f>февраль!E18</f>
        <v>0</v>
      </c>
      <c r="F52" s="165">
        <f>март!G18</f>
        <v>0</v>
      </c>
      <c r="G52" s="166">
        <f>апрель!E18</f>
        <v>0</v>
      </c>
      <c r="H52" s="124">
        <f>май!G18</f>
        <v>0</v>
      </c>
      <c r="I52" s="124">
        <f>июнь!G18</f>
        <v>2733.68</v>
      </c>
      <c r="J52" s="125">
        <f>июль!G18</f>
        <v>2244.3</v>
      </c>
      <c r="K52" s="125">
        <f>август!G18</f>
        <v>4356.04</v>
      </c>
      <c r="L52" s="125">
        <f>сентябрь!G18</f>
        <v>1212.29</v>
      </c>
      <c r="M52" s="125">
        <f>октябрь!G18</f>
        <v>579.61</v>
      </c>
      <c r="N52" s="125">
        <f>ноябрь!G18</f>
        <v>1254.07</v>
      </c>
      <c r="O52" s="125">
        <f>декабрь!G18</f>
        <v>4012.7200000000003</v>
      </c>
      <c r="P52" s="124">
        <f t="shared" si="9"/>
        <v>16392.710000000003</v>
      </c>
      <c r="Q52" s="125">
        <f>P52-O52</f>
        <v>12379.990000000002</v>
      </c>
      <c r="R52" s="154">
        <f t="shared" si="11"/>
        <v>4012.720000000001</v>
      </c>
      <c r="T52" s="114"/>
    </row>
    <row r="53" spans="1:20" ht="15">
      <c r="A53" s="122"/>
      <c r="B53" s="157" t="s">
        <v>50</v>
      </c>
      <c r="C53" s="165"/>
      <c r="D53" s="165">
        <f>январь!E19</f>
        <v>0</v>
      </c>
      <c r="E53" s="165">
        <f>февраль!E19</f>
        <v>0</v>
      </c>
      <c r="F53" s="165">
        <f>март!G19</f>
        <v>0</v>
      </c>
      <c r="G53" s="166">
        <f>апрель!E19</f>
        <v>0</v>
      </c>
      <c r="H53" s="124">
        <f>май!G19</f>
        <v>0</v>
      </c>
      <c r="I53" s="124">
        <f>июнь!G19</f>
        <v>5950</v>
      </c>
      <c r="J53" s="125">
        <f>июль!G19</f>
        <v>5950</v>
      </c>
      <c r="K53" s="125">
        <f>август!G19</f>
        <v>5950</v>
      </c>
      <c r="L53" s="125">
        <f>сентябрь!G19</f>
        <v>5950</v>
      </c>
      <c r="M53" s="125">
        <f>октябрь!G19</f>
        <v>5950</v>
      </c>
      <c r="N53" s="125">
        <f>ноябрь!G19</f>
        <v>5950</v>
      </c>
      <c r="O53" s="125">
        <f>декабрь!G19</f>
        <v>5950</v>
      </c>
      <c r="P53" s="124">
        <f t="shared" si="9"/>
        <v>41650</v>
      </c>
      <c r="Q53" s="125">
        <f>Q12</f>
        <v>32326.63</v>
      </c>
      <c r="R53" s="154">
        <f t="shared" si="11"/>
        <v>9323.369999999999</v>
      </c>
      <c r="T53" s="114"/>
    </row>
    <row r="54" spans="1:20" ht="15">
      <c r="A54" s="122"/>
      <c r="B54" s="157" t="s">
        <v>192</v>
      </c>
      <c r="C54" s="165"/>
      <c r="D54" s="165">
        <f>январь!E20</f>
        <v>0</v>
      </c>
      <c r="E54" s="165">
        <f>февраль!E20</f>
        <v>0</v>
      </c>
      <c r="F54" s="165">
        <f>март!G20</f>
        <v>0</v>
      </c>
      <c r="G54" s="166">
        <f>апрель!E20</f>
        <v>0</v>
      </c>
      <c r="H54" s="124">
        <f>май!G20</f>
        <v>0</v>
      </c>
      <c r="I54" s="124">
        <f>июнь!G20</f>
        <v>0</v>
      </c>
      <c r="J54" s="125">
        <f>июль!G20</f>
        <v>554.36</v>
      </c>
      <c r="K54" s="125">
        <f>август!G20</f>
        <v>3771.72</v>
      </c>
      <c r="L54" s="125">
        <f>сентябрь!G20</f>
        <v>0</v>
      </c>
      <c r="M54" s="125">
        <f>октябрь!G20</f>
        <v>888.52</v>
      </c>
      <c r="N54" s="125">
        <f>ноябрь!G20</f>
        <v>2549.36</v>
      </c>
      <c r="O54" s="125">
        <f>декабрь!G20</f>
        <v>0</v>
      </c>
      <c r="P54" s="124">
        <f t="shared" si="9"/>
        <v>7763.960000000001</v>
      </c>
      <c r="Q54" s="125">
        <f>Q5</f>
        <v>2652.41</v>
      </c>
      <c r="R54" s="154">
        <f t="shared" si="11"/>
        <v>5111.550000000001</v>
      </c>
      <c r="T54" s="114"/>
    </row>
    <row r="55" spans="1:20" ht="15">
      <c r="A55" s="122"/>
      <c r="B55" s="157" t="s">
        <v>193</v>
      </c>
      <c r="C55" s="165"/>
      <c r="D55" s="165">
        <f>январь!E21</f>
        <v>0</v>
      </c>
      <c r="E55" s="165">
        <f>февраль!E21</f>
        <v>0</v>
      </c>
      <c r="F55" s="165">
        <f>март!G21</f>
        <v>0</v>
      </c>
      <c r="G55" s="166">
        <f>апрель!E21</f>
        <v>0</v>
      </c>
      <c r="H55" s="124">
        <f>май!G21</f>
        <v>0</v>
      </c>
      <c r="I55" s="124">
        <f>июнь!G21</f>
        <v>0</v>
      </c>
      <c r="J55" s="125">
        <f>июль!G21</f>
        <v>0</v>
      </c>
      <c r="K55" s="125">
        <f>август!G21</f>
        <v>0</v>
      </c>
      <c r="L55" s="125">
        <f>сентябрь!G21</f>
        <v>0</v>
      </c>
      <c r="M55" s="125">
        <f>октябрь!G21</f>
        <v>0</v>
      </c>
      <c r="N55" s="125">
        <f>ноябрь!G21</f>
        <v>0</v>
      </c>
      <c r="O55" s="125">
        <f>декабрь!G21</f>
        <v>0</v>
      </c>
      <c r="P55" s="124">
        <f t="shared" si="9"/>
        <v>0</v>
      </c>
      <c r="Q55" s="125"/>
      <c r="R55" s="154">
        <f t="shared" si="11"/>
        <v>0</v>
      </c>
      <c r="T55" s="114"/>
    </row>
    <row r="56" spans="1:20" ht="15">
      <c r="A56" s="122"/>
      <c r="B56" s="157" t="s">
        <v>194</v>
      </c>
      <c r="C56" s="165"/>
      <c r="D56" s="165">
        <f>январь!E22</f>
        <v>0</v>
      </c>
      <c r="E56" s="165">
        <f>февраль!E22</f>
        <v>0</v>
      </c>
      <c r="F56" s="165">
        <f>март!G22</f>
        <v>0</v>
      </c>
      <c r="G56" s="166">
        <f>апрель!E22</f>
        <v>0</v>
      </c>
      <c r="H56" s="124">
        <f>май!G22</f>
        <v>0</v>
      </c>
      <c r="I56" s="124">
        <f>июнь!G22</f>
        <v>0</v>
      </c>
      <c r="J56" s="125">
        <f>июль!G22</f>
        <v>0</v>
      </c>
      <c r="K56" s="125">
        <f>август!G22</f>
        <v>7128.39</v>
      </c>
      <c r="L56" s="125">
        <f>сентябрь!G22</f>
        <v>1634.07</v>
      </c>
      <c r="M56" s="125">
        <f>октябрь!G22</f>
        <v>3064.09</v>
      </c>
      <c r="N56" s="125">
        <f>ноябрь!G22</f>
        <v>1719.91</v>
      </c>
      <c r="O56" s="125">
        <f>декабрь!G22</f>
        <v>0</v>
      </c>
      <c r="P56" s="124">
        <f t="shared" si="9"/>
        <v>13546.460000000001</v>
      </c>
      <c r="Q56" s="125">
        <f>Q7</f>
        <v>5008.03</v>
      </c>
      <c r="R56" s="154">
        <f t="shared" si="11"/>
        <v>8538.43</v>
      </c>
      <c r="T56" s="114"/>
    </row>
    <row r="57" spans="1:20" ht="15">
      <c r="A57" s="122"/>
      <c r="B57" s="157" t="s">
        <v>195</v>
      </c>
      <c r="C57" s="165"/>
      <c r="D57" s="165">
        <f>январь!E23</f>
        <v>0</v>
      </c>
      <c r="E57" s="165">
        <f>февраль!E23</f>
        <v>0</v>
      </c>
      <c r="F57" s="165">
        <f>март!G23</f>
        <v>0</v>
      </c>
      <c r="G57" s="166">
        <f>апрель!E23</f>
        <v>0</v>
      </c>
      <c r="H57" s="124">
        <f>май!G23</f>
        <v>0</v>
      </c>
      <c r="I57" s="124">
        <f>июнь!G23</f>
        <v>0</v>
      </c>
      <c r="J57" s="125">
        <f>июль!G23</f>
        <v>0</v>
      </c>
      <c r="K57" s="125">
        <f>август!G23</f>
        <v>0</v>
      </c>
      <c r="L57" s="125">
        <f>сентябрь!G23</f>
        <v>0</v>
      </c>
      <c r="M57" s="125">
        <f>октябрь!G23</f>
        <v>0</v>
      </c>
      <c r="N57" s="125">
        <f>ноябрь!G23</f>
        <v>0</v>
      </c>
      <c r="O57" s="125">
        <f>декабрь!G23</f>
        <v>0</v>
      </c>
      <c r="P57" s="124">
        <f t="shared" si="9"/>
        <v>0</v>
      </c>
      <c r="Q57" s="125"/>
      <c r="R57" s="154">
        <f t="shared" si="11"/>
        <v>0</v>
      </c>
      <c r="T57" s="114"/>
    </row>
    <row r="58" spans="1:20" ht="15">
      <c r="A58" s="122"/>
      <c r="B58" s="157" t="s">
        <v>48</v>
      </c>
      <c r="C58" s="165"/>
      <c r="D58" s="169">
        <f>D59+D62</f>
        <v>0</v>
      </c>
      <c r="E58" s="169">
        <f>E59+E62+E60</f>
        <v>0</v>
      </c>
      <c r="F58" s="169">
        <f>F59+F62</f>
        <v>0</v>
      </c>
      <c r="G58" s="169">
        <f>G59+G60+G61</f>
        <v>0</v>
      </c>
      <c r="H58" s="169">
        <f>H59+H62+H60</f>
        <v>0</v>
      </c>
      <c r="I58" s="169">
        <f>I59+I60+I61+I62</f>
        <v>2600</v>
      </c>
      <c r="J58" s="169">
        <f>J59+J62+J60</f>
        <v>2600</v>
      </c>
      <c r="K58" s="169">
        <f>K59+K62+K60</f>
        <v>0</v>
      </c>
      <c r="L58" s="169">
        <f>L59+L62+L60+L63</f>
        <v>0</v>
      </c>
      <c r="M58" s="169">
        <f>M59+M62+M60</f>
        <v>0</v>
      </c>
      <c r="N58" s="169">
        <f>N59+N62+N60+N64</f>
        <v>0</v>
      </c>
      <c r="O58" s="169">
        <f>O59+O62+O60+O65+O66</f>
        <v>0</v>
      </c>
      <c r="P58" s="112">
        <f t="shared" si="9"/>
        <v>5200</v>
      </c>
      <c r="Q58" s="112">
        <f>Q59+Q60+Q61+Q62</f>
        <v>5200</v>
      </c>
      <c r="R58" s="154">
        <f t="shared" si="11"/>
        <v>0</v>
      </c>
      <c r="T58" s="114"/>
    </row>
    <row r="59" spans="1:20" s="132" customFormat="1" ht="15">
      <c r="A59" s="128"/>
      <c r="B59" s="34" t="s">
        <v>164</v>
      </c>
      <c r="C59" s="166"/>
      <c r="D59" s="165">
        <f>январь!E25</f>
        <v>0</v>
      </c>
      <c r="E59" s="165">
        <f>февраль!E25</f>
        <v>0</v>
      </c>
      <c r="F59" s="166">
        <f>март!G25</f>
        <v>0</v>
      </c>
      <c r="G59" s="166">
        <f>апрель!G25</f>
        <v>0</v>
      </c>
      <c r="H59" s="124">
        <f>май!G25</f>
        <v>0</v>
      </c>
      <c r="I59" s="124">
        <f>июнь!G25</f>
        <v>2600</v>
      </c>
      <c r="J59" s="125">
        <f>июль!G25</f>
        <v>2600</v>
      </c>
      <c r="K59" s="125">
        <f>август!G25</f>
        <v>0</v>
      </c>
      <c r="L59" s="125">
        <f>сентябрь!G25</f>
        <v>0</v>
      </c>
      <c r="M59" s="130">
        <f>октябрь!G21</f>
        <v>0</v>
      </c>
      <c r="N59" s="130">
        <f>ноябрь!G21</f>
        <v>0</v>
      </c>
      <c r="O59" s="130">
        <f>декабрь!G21</f>
        <v>0</v>
      </c>
      <c r="P59" s="118">
        <f t="shared" si="9"/>
        <v>5200</v>
      </c>
      <c r="Q59" s="130">
        <f aca="true" t="shared" si="12" ref="Q59:Q65">P59</f>
        <v>5200</v>
      </c>
      <c r="R59" s="167">
        <f t="shared" si="11"/>
        <v>0</v>
      </c>
      <c r="S59" s="131"/>
      <c r="T59" s="168"/>
    </row>
    <row r="60" spans="1:20" s="132" customFormat="1" ht="15" hidden="1">
      <c r="A60" s="128"/>
      <c r="B60" s="34"/>
      <c r="C60" s="166"/>
      <c r="D60" s="165">
        <f>январь!E26</f>
        <v>0</v>
      </c>
      <c r="E60" s="165">
        <f>февраль!E26</f>
        <v>0</v>
      </c>
      <c r="F60" s="166">
        <f>март!G26</f>
        <v>0</v>
      </c>
      <c r="G60" s="166">
        <f>апрель!G26</f>
        <v>0</v>
      </c>
      <c r="H60" s="124">
        <f>май!G26</f>
        <v>0</v>
      </c>
      <c r="I60" s="124">
        <f>июнь!G26</f>
        <v>0</v>
      </c>
      <c r="J60" s="125">
        <f>июль!G26</f>
        <v>0</v>
      </c>
      <c r="K60" s="125">
        <f>август!G26</f>
        <v>0</v>
      </c>
      <c r="L60" s="125">
        <f>сентябрь!G26</f>
        <v>0</v>
      </c>
      <c r="M60" s="130"/>
      <c r="N60" s="130">
        <f>ноябрь!G21</f>
        <v>0</v>
      </c>
      <c r="O60" s="130"/>
      <c r="P60" s="118">
        <f t="shared" si="9"/>
        <v>0</v>
      </c>
      <c r="Q60" s="130">
        <f t="shared" si="12"/>
        <v>0</v>
      </c>
      <c r="R60" s="167">
        <f t="shared" si="11"/>
        <v>0</v>
      </c>
      <c r="S60" s="131"/>
      <c r="T60" s="168"/>
    </row>
    <row r="61" spans="1:20" s="132" customFormat="1" ht="15" hidden="1">
      <c r="A61" s="128"/>
      <c r="B61" s="34"/>
      <c r="C61" s="166"/>
      <c r="D61" s="166"/>
      <c r="E61" s="165">
        <f>февраль!E27</f>
        <v>0</v>
      </c>
      <c r="F61" s="166">
        <f>март!G27</f>
        <v>0</v>
      </c>
      <c r="G61" s="166">
        <f>апрель!G27</f>
        <v>0</v>
      </c>
      <c r="H61" s="124">
        <f>май!G27</f>
        <v>0</v>
      </c>
      <c r="I61" s="124">
        <f>июнь!G27</f>
        <v>0</v>
      </c>
      <c r="J61" s="125">
        <f>июль!G27</f>
        <v>0</v>
      </c>
      <c r="K61" s="125">
        <f>август!G27</f>
        <v>0</v>
      </c>
      <c r="L61" s="125">
        <f>сентябрь!G27</f>
        <v>0</v>
      </c>
      <c r="M61" s="130"/>
      <c r="N61" s="130"/>
      <c r="O61" s="130"/>
      <c r="P61" s="118">
        <f t="shared" si="9"/>
        <v>0</v>
      </c>
      <c r="Q61" s="130">
        <f t="shared" si="12"/>
        <v>0</v>
      </c>
      <c r="R61" s="167">
        <f t="shared" si="11"/>
        <v>0</v>
      </c>
      <c r="S61" s="131"/>
      <c r="T61" s="168"/>
    </row>
    <row r="62" spans="1:20" s="132" customFormat="1" ht="15" hidden="1">
      <c r="A62" s="128"/>
      <c r="B62" s="34"/>
      <c r="C62" s="166"/>
      <c r="D62" s="166"/>
      <c r="E62" s="165"/>
      <c r="F62" s="166"/>
      <c r="G62" s="166"/>
      <c r="H62" s="118"/>
      <c r="I62" s="124">
        <f>июнь!G22</f>
        <v>0</v>
      </c>
      <c r="J62" s="130">
        <f>июль!G22</f>
        <v>0</v>
      </c>
      <c r="K62" s="125"/>
      <c r="L62" s="130"/>
      <c r="M62" s="130"/>
      <c r="N62" s="130"/>
      <c r="O62" s="130"/>
      <c r="P62" s="118">
        <f t="shared" si="9"/>
        <v>0</v>
      </c>
      <c r="Q62" s="130">
        <f t="shared" si="12"/>
        <v>0</v>
      </c>
      <c r="R62" s="167">
        <f t="shared" si="11"/>
        <v>0</v>
      </c>
      <c r="S62" s="131"/>
      <c r="T62" s="168"/>
    </row>
    <row r="63" spans="1:20" s="132" customFormat="1" ht="15" hidden="1">
      <c r="A63" s="128"/>
      <c r="B63" s="192"/>
      <c r="C63" s="166"/>
      <c r="D63" s="166"/>
      <c r="E63" s="165"/>
      <c r="F63" s="166">
        <f>март!G29</f>
        <v>0</v>
      </c>
      <c r="G63" s="166"/>
      <c r="H63" s="118"/>
      <c r="I63" s="124"/>
      <c r="J63" s="130"/>
      <c r="K63" s="125"/>
      <c r="L63" s="130">
        <f>сентябрь!G21</f>
        <v>0</v>
      </c>
      <c r="M63" s="130"/>
      <c r="N63" s="130"/>
      <c r="O63" s="130"/>
      <c r="P63" s="118">
        <f t="shared" si="9"/>
        <v>0</v>
      </c>
      <c r="Q63" s="130">
        <f t="shared" si="12"/>
        <v>0</v>
      </c>
      <c r="R63" s="167">
        <f t="shared" si="11"/>
        <v>0</v>
      </c>
      <c r="S63" s="131"/>
      <c r="T63" s="168"/>
    </row>
    <row r="64" spans="1:20" s="132" customFormat="1" ht="15" hidden="1">
      <c r="A64" s="128"/>
      <c r="B64" s="192"/>
      <c r="C64" s="166"/>
      <c r="D64" s="166"/>
      <c r="E64" s="165"/>
      <c r="F64" s="166">
        <f>март!G30</f>
        <v>0</v>
      </c>
      <c r="G64" s="166"/>
      <c r="H64" s="118"/>
      <c r="I64" s="124"/>
      <c r="J64" s="130"/>
      <c r="K64" s="130"/>
      <c r="L64" s="130"/>
      <c r="M64" s="130"/>
      <c r="N64" s="130"/>
      <c r="O64" s="130"/>
      <c r="P64" s="118">
        <f t="shared" si="9"/>
        <v>0</v>
      </c>
      <c r="Q64" s="130">
        <f t="shared" si="12"/>
        <v>0</v>
      </c>
      <c r="R64" s="167">
        <f t="shared" si="11"/>
        <v>0</v>
      </c>
      <c r="S64" s="131"/>
      <c r="T64" s="168"/>
    </row>
    <row r="65" spans="1:20" s="132" customFormat="1" ht="15" hidden="1">
      <c r="A65" s="128"/>
      <c r="B65" s="192"/>
      <c r="C65" s="166"/>
      <c r="D65" s="166"/>
      <c r="E65" s="166"/>
      <c r="F65" s="166"/>
      <c r="G65" s="166"/>
      <c r="H65" s="118"/>
      <c r="I65" s="124"/>
      <c r="J65" s="130"/>
      <c r="K65" s="130"/>
      <c r="L65" s="130"/>
      <c r="M65" s="130"/>
      <c r="N65" s="130"/>
      <c r="O65" s="130">
        <f>декабрь!G22</f>
        <v>0</v>
      </c>
      <c r="P65" s="118">
        <f t="shared" si="9"/>
        <v>0</v>
      </c>
      <c r="Q65" s="130">
        <f t="shared" si="12"/>
        <v>0</v>
      </c>
      <c r="R65" s="167">
        <f t="shared" si="11"/>
        <v>0</v>
      </c>
      <c r="S65" s="131"/>
      <c r="T65" s="168"/>
    </row>
    <row r="66" spans="1:20" s="132" customFormat="1" ht="15" hidden="1">
      <c r="A66" s="128"/>
      <c r="B66" s="192"/>
      <c r="C66" s="166"/>
      <c r="D66" s="166"/>
      <c r="E66" s="166"/>
      <c r="F66" s="166"/>
      <c r="G66" s="166"/>
      <c r="H66" s="118"/>
      <c r="I66" s="124"/>
      <c r="J66" s="130"/>
      <c r="K66" s="130"/>
      <c r="L66" s="130"/>
      <c r="M66" s="130"/>
      <c r="N66" s="130"/>
      <c r="O66" s="130">
        <f>декабрь!G23</f>
        <v>0</v>
      </c>
      <c r="P66" s="118">
        <f t="shared" si="9"/>
        <v>0</v>
      </c>
      <c r="Q66" s="130">
        <f>P66</f>
        <v>0</v>
      </c>
      <c r="R66" s="167">
        <f t="shared" si="11"/>
        <v>0</v>
      </c>
      <c r="S66" s="131"/>
      <c r="T66" s="168"/>
    </row>
    <row r="67" spans="1:20" s="114" customFormat="1" ht="14.25">
      <c r="A67" s="110">
        <v>2</v>
      </c>
      <c r="B67" s="152" t="s">
        <v>140</v>
      </c>
      <c r="C67" s="112">
        <f>C68+C69+C70+C71+C72</f>
        <v>0</v>
      </c>
      <c r="D67" s="112">
        <f aca="true" t="shared" si="13" ref="D67:Q67">D68+D69+D70+D71+D72</f>
        <v>0</v>
      </c>
      <c r="E67" s="112">
        <f t="shared" si="13"/>
        <v>0</v>
      </c>
      <c r="F67" s="112">
        <f t="shared" si="13"/>
        <v>0</v>
      </c>
      <c r="G67" s="112">
        <f t="shared" si="13"/>
        <v>0</v>
      </c>
      <c r="H67" s="112">
        <f t="shared" si="13"/>
        <v>0</v>
      </c>
      <c r="I67" s="112">
        <f t="shared" si="13"/>
        <v>79334.56999999999</v>
      </c>
      <c r="J67" s="112">
        <f t="shared" si="13"/>
        <v>57188.95</v>
      </c>
      <c r="K67" s="112">
        <f t="shared" si="13"/>
        <v>55839.29000000001</v>
      </c>
      <c r="L67" s="112">
        <f t="shared" si="13"/>
        <v>52771.36</v>
      </c>
      <c r="M67" s="112">
        <f t="shared" si="13"/>
        <v>58490.67</v>
      </c>
      <c r="N67" s="112">
        <f t="shared" si="13"/>
        <v>67527.57</v>
      </c>
      <c r="O67" s="112">
        <f t="shared" si="13"/>
        <v>55636.689999999995</v>
      </c>
      <c r="P67" s="112">
        <f t="shared" si="9"/>
        <v>426789.1</v>
      </c>
      <c r="Q67" s="112">
        <f t="shared" si="13"/>
        <v>374879.31</v>
      </c>
      <c r="R67" s="160">
        <f t="shared" si="11"/>
        <v>51909.78999999998</v>
      </c>
      <c r="S67" s="113"/>
      <c r="T67" s="114" t="e">
        <f>#REF!/3</f>
        <v>#REF!</v>
      </c>
    </row>
    <row r="68" spans="1:20" ht="30">
      <c r="A68" s="122"/>
      <c r="B68" s="151" t="s">
        <v>132</v>
      </c>
      <c r="C68" s="124"/>
      <c r="D68" s="124">
        <f>январь!E32+январь!E33</f>
        <v>0</v>
      </c>
      <c r="E68" s="124">
        <f>февраль!E32+февраль!E33</f>
        <v>0</v>
      </c>
      <c r="F68" s="124">
        <f>март!E32+март!E33</f>
        <v>0</v>
      </c>
      <c r="G68" s="124">
        <f>апрель!E32+апрель!E33</f>
        <v>0</v>
      </c>
      <c r="H68" s="124">
        <f>май!E32+май!E33</f>
        <v>0</v>
      </c>
      <c r="I68" s="124">
        <f>июнь!E32+июнь!E33</f>
        <v>53413.81</v>
      </c>
      <c r="J68" s="124">
        <f>июль!E32+июль!E33</f>
        <v>48144.95</v>
      </c>
      <c r="K68" s="153">
        <f>август!E32+август!E33</f>
        <v>46902.350000000006</v>
      </c>
      <c r="L68" s="153">
        <f>сентябрь!E32+сентябрь!E33</f>
        <v>45480.41</v>
      </c>
      <c r="M68" s="153">
        <f>октябрь!E32+октябрь!E33</f>
        <v>48861.72</v>
      </c>
      <c r="N68" s="153">
        <f>ноябрь!E32+ноябрь!E33</f>
        <v>50495.810000000005</v>
      </c>
      <c r="O68" s="153">
        <f>декабрь!E32+декабрь!E33</f>
        <v>51909.78999999999</v>
      </c>
      <c r="P68" s="124">
        <f>SUM(D68:O68)</f>
        <v>345208.83999999997</v>
      </c>
      <c r="Q68" s="125">
        <f>P68-O68</f>
        <v>293299.05</v>
      </c>
      <c r="R68" s="154">
        <f t="shared" si="11"/>
        <v>51909.78999999998</v>
      </c>
      <c r="T68" s="114"/>
    </row>
    <row r="69" spans="1:18" ht="15">
      <c r="A69" s="122"/>
      <c r="B69" s="155" t="s">
        <v>128</v>
      </c>
      <c r="C69" s="158"/>
      <c r="D69" s="165">
        <f>январь!F39-Свод!D75</f>
        <v>0</v>
      </c>
      <c r="E69" s="165">
        <f>февраль!F39-Свод!E75</f>
        <v>0</v>
      </c>
      <c r="F69" s="165">
        <f>март!F39-Свод!F75</f>
        <v>0</v>
      </c>
      <c r="G69" s="183">
        <f>апрель!F39-Свод!G75</f>
        <v>0</v>
      </c>
      <c r="H69" s="124">
        <f>май!F39-Свод!H75</f>
        <v>0</v>
      </c>
      <c r="I69" s="124">
        <f>июнь!F39-Свод!I75</f>
        <v>17150.86</v>
      </c>
      <c r="J69" s="125">
        <f>июль!F39-Свод!J75</f>
        <v>9044</v>
      </c>
      <c r="K69" s="125">
        <f>август!F39-Свод!K75</f>
        <v>4552</v>
      </c>
      <c r="L69" s="125">
        <f>сентябрь!F39-Свод!L75</f>
        <v>2868</v>
      </c>
      <c r="M69" s="125">
        <f>октябрь!F39-Свод!M75</f>
        <v>5244</v>
      </c>
      <c r="N69" s="125">
        <f>ноябрь!F39-Свод!N75</f>
        <v>12606.8</v>
      </c>
      <c r="O69" s="125">
        <f>декабрь!F39-Свод!O75</f>
        <v>3726.9</v>
      </c>
      <c r="P69" s="124">
        <f>SUM(D69:O69)</f>
        <v>55192.560000000005</v>
      </c>
      <c r="Q69" s="125">
        <f>P69</f>
        <v>55192.560000000005</v>
      </c>
      <c r="R69" s="154">
        <f t="shared" si="11"/>
        <v>0</v>
      </c>
    </row>
    <row r="70" spans="1:18" ht="15" customHeight="1">
      <c r="A70" s="122"/>
      <c r="B70" s="155" t="s">
        <v>129</v>
      </c>
      <c r="C70" s="158"/>
      <c r="D70" s="165">
        <f>январь!F34</f>
        <v>0</v>
      </c>
      <c r="E70" s="165">
        <f>февраль!F30</f>
        <v>0</v>
      </c>
      <c r="F70" s="165">
        <f>март!G34</f>
        <v>0</v>
      </c>
      <c r="G70" s="183">
        <f>апрель!G29</f>
        <v>0</v>
      </c>
      <c r="H70" s="124">
        <f>май!G34</f>
        <v>0</v>
      </c>
      <c r="I70" s="124">
        <f>июнь!G29</f>
        <v>0</v>
      </c>
      <c r="J70" s="125">
        <f>июль!G29</f>
        <v>0</v>
      </c>
      <c r="K70" s="125">
        <f>август!G29</f>
        <v>0</v>
      </c>
      <c r="L70" s="125">
        <f>сентябрь!F34</f>
        <v>38</v>
      </c>
      <c r="M70" s="125">
        <f>октябрь!G29</f>
        <v>0</v>
      </c>
      <c r="N70" s="125">
        <f>ноябрь!F34</f>
        <v>40</v>
      </c>
      <c r="O70" s="189">
        <f>декабрь!G30</f>
        <v>0</v>
      </c>
      <c r="P70" s="124">
        <f>SUM(D70:O70)</f>
        <v>78</v>
      </c>
      <c r="Q70" s="125">
        <f>P70</f>
        <v>78</v>
      </c>
      <c r="R70" s="154">
        <f t="shared" si="11"/>
        <v>0</v>
      </c>
    </row>
    <row r="71" spans="1:18" ht="15">
      <c r="A71" s="122"/>
      <c r="B71" s="155" t="s">
        <v>136</v>
      </c>
      <c r="C71" s="158"/>
      <c r="D71" s="165">
        <f>январь!G35</f>
        <v>0</v>
      </c>
      <c r="E71" s="165">
        <f>февраль!F35</f>
        <v>0</v>
      </c>
      <c r="F71" s="165">
        <f>март!G35</f>
        <v>0</v>
      </c>
      <c r="G71" s="183">
        <f>апрель!G35</f>
        <v>0</v>
      </c>
      <c r="H71" s="124">
        <f>май!G35</f>
        <v>0</v>
      </c>
      <c r="I71" s="124">
        <f>июнь!G35</f>
        <v>8769.9</v>
      </c>
      <c r="J71" s="125">
        <f>июль!G30</f>
        <v>0</v>
      </c>
      <c r="K71" s="125">
        <f>август!G35</f>
        <v>4384.94</v>
      </c>
      <c r="L71" s="125">
        <f>сентябрь!G35</f>
        <v>4384.95</v>
      </c>
      <c r="M71" s="125">
        <f>октябрь!G35</f>
        <v>4384.95</v>
      </c>
      <c r="N71" s="125">
        <f>ноябрь!G35</f>
        <v>4384.96</v>
      </c>
      <c r="O71" s="189">
        <f>декабрь!G30</f>
        <v>0</v>
      </c>
      <c r="P71" s="124">
        <f>SUM(D71:O71)</f>
        <v>26309.7</v>
      </c>
      <c r="Q71" s="125">
        <f>P71</f>
        <v>26309.7</v>
      </c>
      <c r="R71" s="154">
        <f t="shared" si="11"/>
        <v>0</v>
      </c>
    </row>
    <row r="72" spans="1:18" ht="15">
      <c r="A72" s="122"/>
      <c r="B72" s="157" t="s">
        <v>48</v>
      </c>
      <c r="C72" s="124">
        <f>C73+C74+C75</f>
        <v>0</v>
      </c>
      <c r="D72" s="124">
        <f aca="true" t="shared" si="14" ref="D72:Q72">D73+D74+D75</f>
        <v>0</v>
      </c>
      <c r="E72" s="124">
        <f t="shared" si="14"/>
        <v>0</v>
      </c>
      <c r="F72" s="124">
        <f t="shared" si="14"/>
        <v>0</v>
      </c>
      <c r="G72" s="124">
        <f t="shared" si="14"/>
        <v>0</v>
      </c>
      <c r="H72" s="124">
        <f t="shared" si="14"/>
        <v>0</v>
      </c>
      <c r="I72" s="124">
        <f t="shared" si="14"/>
        <v>0</v>
      </c>
      <c r="J72" s="124">
        <f t="shared" si="14"/>
        <v>0</v>
      </c>
      <c r="K72" s="124">
        <f t="shared" si="14"/>
        <v>0</v>
      </c>
      <c r="L72" s="124">
        <f t="shared" si="14"/>
        <v>0</v>
      </c>
      <c r="M72" s="124">
        <f t="shared" si="14"/>
        <v>0</v>
      </c>
      <c r="N72" s="124">
        <f t="shared" si="14"/>
        <v>0</v>
      </c>
      <c r="O72" s="124">
        <f t="shared" si="14"/>
        <v>0</v>
      </c>
      <c r="P72" s="124">
        <f>SUM(D72:O72)</f>
        <v>0</v>
      </c>
      <c r="Q72" s="124">
        <f t="shared" si="14"/>
        <v>0</v>
      </c>
      <c r="R72" s="154">
        <f t="shared" si="11"/>
        <v>0</v>
      </c>
    </row>
    <row r="73" spans="1:19" s="132" customFormat="1" ht="15" hidden="1">
      <c r="A73" s="128"/>
      <c r="B73" s="129"/>
      <c r="C73" s="118"/>
      <c r="D73" s="165">
        <f>январь!G37</f>
        <v>0</v>
      </c>
      <c r="E73" s="165">
        <f>февраль!F37</f>
        <v>0</v>
      </c>
      <c r="F73" s="165">
        <f>март!G37</f>
        <v>0</v>
      </c>
      <c r="G73" s="183">
        <f>апрель!G37</f>
        <v>0</v>
      </c>
      <c r="H73" s="118">
        <f>май!G37</f>
        <v>0</v>
      </c>
      <c r="I73" s="118">
        <f>июнь!G37</f>
        <v>0</v>
      </c>
      <c r="J73" s="130">
        <f>июль!G37</f>
        <v>0</v>
      </c>
      <c r="K73" s="130">
        <f>август!G37</f>
        <v>0</v>
      </c>
      <c r="L73" s="130">
        <f>сентябрь!G37</f>
        <v>0</v>
      </c>
      <c r="M73" s="130">
        <f>октябрь!G37</f>
        <v>0</v>
      </c>
      <c r="N73" s="130">
        <f>ноябрь!G37</f>
        <v>0</v>
      </c>
      <c r="O73" s="118">
        <f>декабрь!G37</f>
        <v>0</v>
      </c>
      <c r="P73" s="118">
        <f aca="true" t="shared" si="15" ref="P73:P100">SUM(D73:O73)</f>
        <v>0</v>
      </c>
      <c r="Q73" s="118"/>
      <c r="R73" s="154">
        <f t="shared" si="11"/>
        <v>0</v>
      </c>
      <c r="S73" s="131"/>
    </row>
    <row r="74" spans="1:19" s="132" customFormat="1" ht="15" hidden="1">
      <c r="A74" s="128"/>
      <c r="B74" s="129"/>
      <c r="C74" s="118"/>
      <c r="D74" s="165">
        <f>январь!G38</f>
        <v>0</v>
      </c>
      <c r="E74" s="165">
        <f>февраль!F38</f>
        <v>0</v>
      </c>
      <c r="F74" s="165">
        <f>март!G38</f>
        <v>0</v>
      </c>
      <c r="G74" s="183">
        <f>апрель!G38</f>
        <v>0</v>
      </c>
      <c r="H74" s="118">
        <f>май!G38</f>
        <v>0</v>
      </c>
      <c r="I74" s="118">
        <f>июнь!G38</f>
        <v>0</v>
      </c>
      <c r="J74" s="130">
        <f>июль!G38</f>
        <v>0</v>
      </c>
      <c r="K74" s="130">
        <f>август!G38</f>
        <v>0</v>
      </c>
      <c r="L74" s="130">
        <f>сентябрь!G38</f>
        <v>0</v>
      </c>
      <c r="M74" s="130">
        <f>октябрь!G38</f>
        <v>0</v>
      </c>
      <c r="N74" s="130">
        <f>ноябрь!G38</f>
        <v>0</v>
      </c>
      <c r="O74" s="118">
        <f>декабрь!G38</f>
        <v>0</v>
      </c>
      <c r="P74" s="118">
        <f t="shared" si="15"/>
        <v>0</v>
      </c>
      <c r="Q74" s="118"/>
      <c r="R74" s="154">
        <f t="shared" si="11"/>
        <v>0</v>
      </c>
      <c r="S74" s="131"/>
    </row>
    <row r="75" spans="1:19" s="132" customFormat="1" ht="15" hidden="1">
      <c r="A75" s="128"/>
      <c r="B75" s="129"/>
      <c r="C75" s="128"/>
      <c r="D75" s="128"/>
      <c r="E75" s="128"/>
      <c r="F75" s="165"/>
      <c r="G75" s="184"/>
      <c r="H75" s="118"/>
      <c r="I75" s="118"/>
      <c r="J75" s="130"/>
      <c r="K75" s="130"/>
      <c r="L75" s="130"/>
      <c r="M75" s="130"/>
      <c r="N75" s="130">
        <v>0</v>
      </c>
      <c r="O75" s="118">
        <v>0</v>
      </c>
      <c r="P75" s="118">
        <f t="shared" si="15"/>
        <v>0</v>
      </c>
      <c r="Q75" s="118"/>
      <c r="R75" s="154">
        <f t="shared" si="11"/>
        <v>0</v>
      </c>
      <c r="S75" s="131"/>
    </row>
    <row r="76" spans="1:26" s="114" customFormat="1" ht="14.25">
      <c r="A76" s="110">
        <v>3</v>
      </c>
      <c r="B76" s="163" t="s">
        <v>139</v>
      </c>
      <c r="C76" s="169"/>
      <c r="D76" s="169">
        <f aca="true" t="shared" si="16" ref="D76:Q76">D77+D78+D79+D80</f>
        <v>0</v>
      </c>
      <c r="E76" s="169">
        <f t="shared" si="16"/>
        <v>0</v>
      </c>
      <c r="F76" s="169">
        <f t="shared" si="16"/>
        <v>0</v>
      </c>
      <c r="G76" s="169">
        <f t="shared" si="16"/>
        <v>0</v>
      </c>
      <c r="H76" s="169">
        <f t="shared" si="16"/>
        <v>0</v>
      </c>
      <c r="I76" s="169">
        <f t="shared" si="16"/>
        <v>7817.07</v>
      </c>
      <c r="J76" s="169">
        <f t="shared" si="16"/>
        <v>4789.06</v>
      </c>
      <c r="K76" s="169">
        <f t="shared" si="16"/>
        <v>30533.86</v>
      </c>
      <c r="L76" s="169">
        <f t="shared" si="16"/>
        <v>4524.51</v>
      </c>
      <c r="M76" s="169">
        <f t="shared" si="16"/>
        <v>78897.11</v>
      </c>
      <c r="N76" s="169">
        <f t="shared" si="16"/>
        <v>14147.630000000001</v>
      </c>
      <c r="O76" s="169">
        <f t="shared" si="16"/>
        <v>22241.54</v>
      </c>
      <c r="P76" s="112">
        <f t="shared" si="15"/>
        <v>162950.78000000003</v>
      </c>
      <c r="Q76" s="169">
        <f t="shared" si="16"/>
        <v>157657.44</v>
      </c>
      <c r="R76" s="160">
        <f t="shared" si="11"/>
        <v>5293.340000000026</v>
      </c>
      <c r="S76" s="113"/>
      <c r="X76" s="113" t="e">
        <f>#REF!+#REF!</f>
        <v>#REF!</v>
      </c>
      <c r="Z76" s="113">
        <v>1365644.8953411141</v>
      </c>
    </row>
    <row r="77" spans="1:18" ht="15" customHeight="1">
      <c r="A77" s="122"/>
      <c r="B77" s="151" t="s">
        <v>132</v>
      </c>
      <c r="C77" s="124"/>
      <c r="D77" s="169">
        <f>январь!E43</f>
        <v>0</v>
      </c>
      <c r="E77" s="169">
        <f>февраль!E43</f>
        <v>0</v>
      </c>
      <c r="F77" s="124">
        <f>март!E43</f>
        <v>0</v>
      </c>
      <c r="G77" s="124">
        <f>апрель!E43</f>
        <v>0</v>
      </c>
      <c r="H77" s="124">
        <f>май!E43</f>
        <v>0</v>
      </c>
      <c r="I77" s="124">
        <f>июнь!E43</f>
        <v>5094.1</v>
      </c>
      <c r="J77" s="124">
        <f>июль!E43</f>
        <v>4789.06</v>
      </c>
      <c r="K77" s="124">
        <f>август!E43</f>
        <v>3848.86</v>
      </c>
      <c r="L77" s="124">
        <f>сентябрь!E43</f>
        <v>4524.51</v>
      </c>
      <c r="M77" s="124">
        <f>октябрь!E43</f>
        <v>4497.11</v>
      </c>
      <c r="N77" s="124">
        <f>ноябрь!E43</f>
        <v>3980.03</v>
      </c>
      <c r="O77" s="124">
        <f>декабрь!E43</f>
        <v>5293.34</v>
      </c>
      <c r="P77" s="124">
        <f t="shared" si="15"/>
        <v>32027.01</v>
      </c>
      <c r="Q77" s="125">
        <f>P77-O77</f>
        <v>26733.67</v>
      </c>
      <c r="R77" s="154">
        <f t="shared" si="11"/>
        <v>5293.34</v>
      </c>
    </row>
    <row r="78" spans="1:26" ht="15">
      <c r="A78" s="122"/>
      <c r="B78" s="155" t="s">
        <v>128</v>
      </c>
      <c r="C78" s="124"/>
      <c r="D78" s="169">
        <f>январь!E44</f>
        <v>0</v>
      </c>
      <c r="E78" s="169">
        <f>февраль!E44</f>
        <v>0</v>
      </c>
      <c r="F78" s="124">
        <f>март!F43</f>
        <v>0</v>
      </c>
      <c r="G78" s="124">
        <f>апрель!E44</f>
        <v>0</v>
      </c>
      <c r="H78" s="124">
        <f>май!F48-Свод!H84</f>
        <v>0</v>
      </c>
      <c r="I78" s="124">
        <f>июнь!F48-Свод!I84</f>
        <v>2722.97</v>
      </c>
      <c r="J78" s="124">
        <f>июль!F38</f>
        <v>0</v>
      </c>
      <c r="K78" s="125">
        <f>август!F49-Свод!K84</f>
        <v>185</v>
      </c>
      <c r="L78" s="125">
        <f>сентябрь!F43-Свод!L84</f>
        <v>0</v>
      </c>
      <c r="M78" s="125">
        <f>октябрь!F43-Свод!M84</f>
        <v>300</v>
      </c>
      <c r="N78" s="125">
        <f>ноябрь!F43-Свод!N84</f>
        <v>10167.6</v>
      </c>
      <c r="O78" s="125">
        <f>декабрь!F43-Свод!O84</f>
        <v>4648.2</v>
      </c>
      <c r="P78" s="124">
        <f t="shared" si="15"/>
        <v>18023.77</v>
      </c>
      <c r="Q78" s="125">
        <f>P78</f>
        <v>18023.77</v>
      </c>
      <c r="R78" s="154">
        <f t="shared" si="11"/>
        <v>0</v>
      </c>
      <c r="Z78" s="126" t="e">
        <f>Z76-X76</f>
        <v>#REF!</v>
      </c>
    </row>
    <row r="79" spans="1:21" ht="15">
      <c r="A79" s="122"/>
      <c r="B79" s="155" t="s">
        <v>129</v>
      </c>
      <c r="C79" s="124"/>
      <c r="D79" s="169">
        <f>январь!E44</f>
        <v>0</v>
      </c>
      <c r="E79" s="169">
        <f>февраль!E45</f>
        <v>0</v>
      </c>
      <c r="F79" s="124">
        <f>март!E45</f>
        <v>0</v>
      </c>
      <c r="G79" s="124">
        <f>апрель!E45</f>
        <v>0</v>
      </c>
      <c r="H79" s="124">
        <f>май!G45</f>
        <v>0</v>
      </c>
      <c r="I79" s="124">
        <f>июнь!G45</f>
        <v>0</v>
      </c>
      <c r="J79" s="125">
        <f>июль!G45</f>
        <v>0</v>
      </c>
      <c r="K79" s="125">
        <f>август!G45</f>
        <v>0</v>
      </c>
      <c r="L79" s="125">
        <f>сентябрь!G45</f>
        <v>0</v>
      </c>
      <c r="M79" s="125">
        <f>октябрь!G45</f>
        <v>0</v>
      </c>
      <c r="N79" s="125">
        <f>ноябрь!G45</f>
        <v>0</v>
      </c>
      <c r="O79" s="124">
        <f>декабрь!E45</f>
        <v>0</v>
      </c>
      <c r="P79" s="124">
        <f t="shared" si="15"/>
        <v>0</v>
      </c>
      <c r="Q79" s="125">
        <f>P79</f>
        <v>0</v>
      </c>
      <c r="R79" s="154">
        <f t="shared" si="11"/>
        <v>0</v>
      </c>
      <c r="U79" s="133"/>
    </row>
    <row r="80" spans="1:18" ht="15">
      <c r="A80" s="122"/>
      <c r="B80" s="157" t="s">
        <v>48</v>
      </c>
      <c r="C80" s="124"/>
      <c r="D80" s="124">
        <f aca="true" t="shared" si="17" ref="D80:N80">D81+D82</f>
        <v>0</v>
      </c>
      <c r="E80" s="124">
        <f t="shared" si="17"/>
        <v>0</v>
      </c>
      <c r="F80" s="124">
        <f t="shared" si="17"/>
        <v>0</v>
      </c>
      <c r="G80" s="124">
        <f>апрель!E46</f>
        <v>0</v>
      </c>
      <c r="H80" s="124">
        <f t="shared" si="17"/>
        <v>0</v>
      </c>
      <c r="I80" s="124">
        <f t="shared" si="17"/>
        <v>0</v>
      </c>
      <c r="J80" s="124">
        <f t="shared" si="17"/>
        <v>0</v>
      </c>
      <c r="K80" s="124">
        <f>K81+K82+K83+K84+K85</f>
        <v>26500</v>
      </c>
      <c r="L80" s="124">
        <f>L81+L82+L83</f>
        <v>0</v>
      </c>
      <c r="M80" s="124">
        <f>M81+M82+M83</f>
        <v>74100</v>
      </c>
      <c r="N80" s="124">
        <f t="shared" si="17"/>
        <v>0</v>
      </c>
      <c r="O80" s="124">
        <f>декабрь!E46</f>
        <v>12300</v>
      </c>
      <c r="P80" s="124">
        <f t="shared" si="15"/>
        <v>112900</v>
      </c>
      <c r="Q80" s="124">
        <f>Q81+Q82+Q83+Q84+Q85</f>
        <v>112900</v>
      </c>
      <c r="R80" s="154">
        <f t="shared" si="11"/>
        <v>0</v>
      </c>
    </row>
    <row r="81" spans="1:19" s="133" customFormat="1" ht="15" hidden="1">
      <c r="A81" s="134"/>
      <c r="B81" s="135"/>
      <c r="C81" s="44"/>
      <c r="D81" s="44">
        <f>январь!E46</f>
        <v>0</v>
      </c>
      <c r="E81" s="44">
        <f>февраль!E46</f>
        <v>0</v>
      </c>
      <c r="F81" s="118">
        <f>март!G41</f>
        <v>0</v>
      </c>
      <c r="G81" s="118">
        <f>апрель!G41</f>
        <v>0</v>
      </c>
      <c r="H81" s="118">
        <f>май!G41</f>
        <v>0</v>
      </c>
      <c r="I81" s="118"/>
      <c r="J81" s="130">
        <f>июль!G41</f>
        <v>0</v>
      </c>
      <c r="K81" s="130"/>
      <c r="L81" s="130">
        <f>сентябрь!G41</f>
        <v>0</v>
      </c>
      <c r="M81" s="125"/>
      <c r="N81" s="130">
        <f>ноябрь!G46</f>
        <v>0</v>
      </c>
      <c r="O81" s="124">
        <f>декабрь!E47</f>
        <v>0</v>
      </c>
      <c r="P81" s="118">
        <f t="shared" si="15"/>
        <v>0</v>
      </c>
      <c r="Q81" s="130">
        <f>P81</f>
        <v>0</v>
      </c>
      <c r="R81" s="154">
        <f t="shared" si="11"/>
        <v>0</v>
      </c>
      <c r="S81" s="126"/>
    </row>
    <row r="82" spans="1:19" s="202" customFormat="1" ht="15">
      <c r="A82" s="201"/>
      <c r="B82" s="129" t="s">
        <v>208</v>
      </c>
      <c r="C82" s="118"/>
      <c r="D82" s="118"/>
      <c r="E82" s="118"/>
      <c r="F82" s="118"/>
      <c r="G82" s="118"/>
      <c r="H82" s="118"/>
      <c r="I82" s="118"/>
      <c r="J82" s="130"/>
      <c r="K82" s="130"/>
      <c r="L82" s="130"/>
      <c r="M82" s="130">
        <f>октябрь!G46</f>
        <v>74100</v>
      </c>
      <c r="N82" s="130">
        <f>октябрь!H46</f>
        <v>0</v>
      </c>
      <c r="O82" s="118">
        <f>декабрь!E46</f>
        <v>12300</v>
      </c>
      <c r="P82" s="118">
        <f t="shared" si="15"/>
        <v>86400</v>
      </c>
      <c r="Q82" s="130">
        <f>P82</f>
        <v>86400</v>
      </c>
      <c r="R82" s="167">
        <f t="shared" si="11"/>
        <v>0</v>
      </c>
      <c r="S82" s="131"/>
    </row>
    <row r="83" spans="1:19" s="202" customFormat="1" ht="15">
      <c r="A83" s="201"/>
      <c r="B83" s="200" t="s">
        <v>167</v>
      </c>
      <c r="C83" s="118"/>
      <c r="D83" s="118"/>
      <c r="E83" s="118"/>
      <c r="F83" s="118"/>
      <c r="G83" s="118"/>
      <c r="H83" s="118"/>
      <c r="I83" s="118"/>
      <c r="J83" s="130"/>
      <c r="K83" s="130">
        <f>август!G46</f>
        <v>3000</v>
      </c>
      <c r="L83" s="130"/>
      <c r="M83" s="130">
        <f>октябрь!G41</f>
        <v>0</v>
      </c>
      <c r="N83" s="130"/>
      <c r="O83" s="118">
        <f>декабрь!E49</f>
        <v>0</v>
      </c>
      <c r="P83" s="118">
        <f t="shared" si="15"/>
        <v>3000</v>
      </c>
      <c r="Q83" s="130">
        <f>P83</f>
        <v>3000</v>
      </c>
      <c r="R83" s="167">
        <f t="shared" si="11"/>
        <v>0</v>
      </c>
      <c r="S83" s="131"/>
    </row>
    <row r="84" spans="1:19" s="202" customFormat="1" ht="15">
      <c r="A84" s="201"/>
      <c r="B84" s="200" t="s">
        <v>214</v>
      </c>
      <c r="C84" s="118"/>
      <c r="D84" s="118"/>
      <c r="E84" s="118"/>
      <c r="F84" s="118"/>
      <c r="G84" s="118"/>
      <c r="H84" s="118"/>
      <c r="I84" s="118"/>
      <c r="J84" s="130"/>
      <c r="K84" s="130">
        <f>август!G47</f>
        <v>21000</v>
      </c>
      <c r="L84" s="130"/>
      <c r="M84" s="130"/>
      <c r="N84" s="130"/>
      <c r="O84" s="130"/>
      <c r="P84" s="118">
        <f t="shared" si="15"/>
        <v>21000</v>
      </c>
      <c r="Q84" s="130">
        <f>P84</f>
        <v>21000</v>
      </c>
      <c r="R84" s="167">
        <f t="shared" si="11"/>
        <v>0</v>
      </c>
      <c r="S84" s="131"/>
    </row>
    <row r="85" spans="1:19" s="202" customFormat="1" ht="15">
      <c r="A85" s="201"/>
      <c r="B85" s="200" t="s">
        <v>215</v>
      </c>
      <c r="C85" s="118"/>
      <c r="D85" s="118"/>
      <c r="E85" s="118"/>
      <c r="F85" s="118"/>
      <c r="G85" s="118"/>
      <c r="H85" s="118"/>
      <c r="I85" s="118"/>
      <c r="J85" s="130"/>
      <c r="K85" s="130">
        <f>август!G48</f>
        <v>2500</v>
      </c>
      <c r="L85" s="130"/>
      <c r="M85" s="130"/>
      <c r="N85" s="130"/>
      <c r="O85" s="130"/>
      <c r="P85" s="118">
        <f t="shared" si="15"/>
        <v>2500</v>
      </c>
      <c r="Q85" s="130">
        <f>P85</f>
        <v>2500</v>
      </c>
      <c r="R85" s="167">
        <f t="shared" si="11"/>
        <v>0</v>
      </c>
      <c r="S85" s="131"/>
    </row>
    <row r="86" spans="1:19" s="175" customFormat="1" ht="28.5">
      <c r="A86" s="110">
        <v>4</v>
      </c>
      <c r="B86" s="172" t="s">
        <v>142</v>
      </c>
      <c r="C86" s="173"/>
      <c r="D86" s="169">
        <f>январь!E52</f>
        <v>0</v>
      </c>
      <c r="E86" s="169">
        <f>февраль!E52</f>
        <v>0</v>
      </c>
      <c r="F86" s="169">
        <f>март!E52</f>
        <v>0</v>
      </c>
      <c r="G86" s="169">
        <f>апрель!E52</f>
        <v>0</v>
      </c>
      <c r="H86" s="112">
        <f>май!E52</f>
        <v>0</v>
      </c>
      <c r="I86" s="112">
        <f>июнь!E52</f>
        <v>28574.17</v>
      </c>
      <c r="J86" s="139">
        <f>июль!E52</f>
        <v>28574.17</v>
      </c>
      <c r="K86" s="139">
        <f>август!E53</f>
        <v>28574.17</v>
      </c>
      <c r="L86" s="139">
        <f>сентябрь!E52</f>
        <v>28574.17</v>
      </c>
      <c r="M86" s="139">
        <f>октябрь!E52</f>
        <v>28574.17</v>
      </c>
      <c r="N86" s="139">
        <f>ноябрь!E52</f>
        <v>28574.17</v>
      </c>
      <c r="O86" s="139">
        <f>декабрь!E52</f>
        <v>28574.17</v>
      </c>
      <c r="P86" s="112">
        <f t="shared" si="15"/>
        <v>200019.18999999994</v>
      </c>
      <c r="Q86" s="139">
        <f>P86-O86</f>
        <v>171445.01999999996</v>
      </c>
      <c r="R86" s="160">
        <f t="shared" si="11"/>
        <v>28574.169999999984</v>
      </c>
      <c r="S86" s="174"/>
    </row>
    <row r="87" spans="1:19" s="175" customFormat="1" ht="14.25">
      <c r="A87" s="138">
        <v>5</v>
      </c>
      <c r="B87" s="163" t="s">
        <v>143</v>
      </c>
      <c r="C87" s="173"/>
      <c r="D87" s="169">
        <f>январь!E53</f>
        <v>0</v>
      </c>
      <c r="E87" s="169">
        <f>февраль!E53</f>
        <v>0</v>
      </c>
      <c r="F87" s="169">
        <f>март!E53</f>
        <v>0</v>
      </c>
      <c r="G87" s="169">
        <f>апрель!E53</f>
        <v>0</v>
      </c>
      <c r="H87" s="112">
        <f>май!E53</f>
        <v>0</v>
      </c>
      <c r="I87" s="112">
        <f>июнь!E53</f>
        <v>5026.24</v>
      </c>
      <c r="J87" s="139">
        <f>июль!E53</f>
        <v>5026.24</v>
      </c>
      <c r="K87" s="139">
        <f>август!E54</f>
        <v>5026.24</v>
      </c>
      <c r="L87" s="139">
        <f>сентябрь!E53</f>
        <v>5026.24</v>
      </c>
      <c r="M87" s="139">
        <f>октябрь!E53</f>
        <v>5026.24</v>
      </c>
      <c r="N87" s="139">
        <f>ноябрь!E53</f>
        <v>5026.24</v>
      </c>
      <c r="O87" s="139">
        <f>декабрь!E53</f>
        <v>5026.24</v>
      </c>
      <c r="P87" s="112">
        <f t="shared" si="15"/>
        <v>35183.67999999999</v>
      </c>
      <c r="Q87" s="139">
        <f>P87-O87</f>
        <v>30157.439999999995</v>
      </c>
      <c r="R87" s="160">
        <f t="shared" si="11"/>
        <v>5026.239999999998</v>
      </c>
      <c r="S87" s="174"/>
    </row>
    <row r="88" spans="1:19" s="175" customFormat="1" ht="14.25">
      <c r="A88" s="138">
        <v>6</v>
      </c>
      <c r="B88" s="163" t="s">
        <v>144</v>
      </c>
      <c r="C88" s="173"/>
      <c r="D88" s="169">
        <f>январь!E54</f>
        <v>0</v>
      </c>
      <c r="E88" s="169">
        <f>февраль!E54</f>
        <v>0</v>
      </c>
      <c r="F88" s="169">
        <f>март!E54</f>
        <v>0</v>
      </c>
      <c r="G88" s="169">
        <f>апрель!E54</f>
        <v>0</v>
      </c>
      <c r="H88" s="112">
        <f>май!E54</f>
        <v>0</v>
      </c>
      <c r="I88" s="112">
        <f>июнь!E54</f>
        <v>2638.78</v>
      </c>
      <c r="J88" s="139">
        <f>июль!E54</f>
        <v>2638.78</v>
      </c>
      <c r="K88" s="139">
        <f>август!E55</f>
        <v>2638.78</v>
      </c>
      <c r="L88" s="139">
        <f>сентябрь!E54</f>
        <v>2638.78</v>
      </c>
      <c r="M88" s="139">
        <f>октябрь!E54</f>
        <v>2638.78</v>
      </c>
      <c r="N88" s="139">
        <f>ноябрь!E54</f>
        <v>2638.78</v>
      </c>
      <c r="O88" s="139">
        <f>декабрь!E54</f>
        <v>2638.78</v>
      </c>
      <c r="P88" s="112">
        <f t="shared" si="15"/>
        <v>18471.460000000003</v>
      </c>
      <c r="Q88" s="139">
        <f>P88-O88</f>
        <v>15832.680000000002</v>
      </c>
      <c r="R88" s="160">
        <f t="shared" si="11"/>
        <v>2638.7800000000007</v>
      </c>
      <c r="S88" s="174"/>
    </row>
    <row r="89" spans="1:23" s="175" customFormat="1" ht="14.25">
      <c r="A89" s="138">
        <v>7</v>
      </c>
      <c r="B89" s="163" t="s">
        <v>44</v>
      </c>
      <c r="C89" s="173"/>
      <c r="D89" s="169">
        <f>январь!E55</f>
        <v>0</v>
      </c>
      <c r="E89" s="169">
        <f>февраль!E55</f>
        <v>0</v>
      </c>
      <c r="F89" s="169">
        <f>март!E55</f>
        <v>0</v>
      </c>
      <c r="G89" s="169">
        <f>апрель!E55</f>
        <v>0</v>
      </c>
      <c r="H89" s="112">
        <f>май!E55</f>
        <v>0</v>
      </c>
      <c r="I89" s="112">
        <f>июнь!E55</f>
        <v>3886.97</v>
      </c>
      <c r="J89" s="139">
        <f>июль!E55</f>
        <v>4396.55</v>
      </c>
      <c r="K89" s="139">
        <f>август!E56</f>
        <v>3916.37</v>
      </c>
      <c r="L89" s="139">
        <f>сентябрь!E55</f>
        <v>4033.54</v>
      </c>
      <c r="M89" s="139">
        <f>октябрь!E55</f>
        <v>6129.68</v>
      </c>
      <c r="N89" s="139">
        <f>ноябрь!E55</f>
        <v>5672.75</v>
      </c>
      <c r="O89" s="139">
        <f>декабрь!E55</f>
        <v>4369.43</v>
      </c>
      <c r="P89" s="112">
        <f t="shared" si="15"/>
        <v>32405.29</v>
      </c>
      <c r="Q89" s="139">
        <f>P89</f>
        <v>32405.29</v>
      </c>
      <c r="R89" s="160">
        <f t="shared" si="11"/>
        <v>0</v>
      </c>
      <c r="S89" s="174"/>
      <c r="U89" s="174"/>
      <c r="W89" s="111"/>
    </row>
    <row r="90" spans="1:23" s="175" customFormat="1" ht="14.25">
      <c r="A90" s="138">
        <v>8</v>
      </c>
      <c r="B90" s="163" t="s">
        <v>141</v>
      </c>
      <c r="C90" s="169">
        <f>C91+C92+C93+C94+C95+C96+C97+C98</f>
        <v>0</v>
      </c>
      <c r="D90" s="169">
        <f aca="true" t="shared" si="18" ref="D90:Q90">D91+D92+D93+D94+D95+D96+D97+D98</f>
        <v>0</v>
      </c>
      <c r="E90" s="169">
        <f t="shared" si="18"/>
        <v>0</v>
      </c>
      <c r="F90" s="169">
        <f t="shared" si="18"/>
        <v>0</v>
      </c>
      <c r="G90" s="169">
        <f t="shared" si="18"/>
        <v>0</v>
      </c>
      <c r="H90" s="169">
        <f t="shared" si="18"/>
        <v>0</v>
      </c>
      <c r="I90" s="169">
        <f t="shared" si="18"/>
        <v>10584.77</v>
      </c>
      <c r="J90" s="169">
        <f t="shared" si="18"/>
        <v>8587.42</v>
      </c>
      <c r="K90" s="169">
        <f t="shared" si="18"/>
        <v>10045.6</v>
      </c>
      <c r="L90" s="169">
        <f t="shared" si="18"/>
        <v>7463.37</v>
      </c>
      <c r="M90" s="169">
        <f t="shared" si="18"/>
        <v>7015.64</v>
      </c>
      <c r="N90" s="169">
        <f t="shared" si="18"/>
        <v>7783.96</v>
      </c>
      <c r="O90" s="169">
        <f t="shared" si="18"/>
        <v>8661.26</v>
      </c>
      <c r="P90" s="112">
        <f t="shared" si="15"/>
        <v>60142.020000000004</v>
      </c>
      <c r="Q90" s="169">
        <f t="shared" si="18"/>
        <v>60142.02</v>
      </c>
      <c r="R90" s="160">
        <f t="shared" si="11"/>
        <v>0</v>
      </c>
      <c r="S90" s="174"/>
      <c r="U90" s="174"/>
      <c r="W90" s="164"/>
    </row>
    <row r="91" spans="1:23" s="178" customFormat="1" ht="15">
      <c r="A91" s="136"/>
      <c r="B91" s="176" t="s">
        <v>62</v>
      </c>
      <c r="C91" s="118"/>
      <c r="D91" s="166">
        <f>январь!E57</f>
        <v>0</v>
      </c>
      <c r="E91" s="166">
        <f>февраль!E57</f>
        <v>0</v>
      </c>
      <c r="F91" s="166">
        <f>март!E57</f>
        <v>0</v>
      </c>
      <c r="G91" s="166">
        <f>апрель!E57</f>
        <v>0</v>
      </c>
      <c r="H91" s="118">
        <f>май!E57</f>
        <v>0</v>
      </c>
      <c r="I91" s="118">
        <f>июнь!E57</f>
        <v>3473.84</v>
      </c>
      <c r="J91" s="130">
        <f>июль!E57</f>
        <v>3137.03</v>
      </c>
      <c r="K91" s="130">
        <f>август!E58</f>
        <v>1653.31</v>
      </c>
      <c r="L91" s="130">
        <f>сентябрь!E57</f>
        <v>1426.49</v>
      </c>
      <c r="M91" s="130">
        <f>октябрь!E57</f>
        <v>1493.02</v>
      </c>
      <c r="N91" s="130">
        <f>ноябрь!E57</f>
        <v>1226.91</v>
      </c>
      <c r="O91" s="130">
        <f>декабрь!E57</f>
        <v>1918.1</v>
      </c>
      <c r="P91" s="118">
        <f t="shared" si="15"/>
        <v>14328.7</v>
      </c>
      <c r="Q91" s="118">
        <f>P91</f>
        <v>14328.7</v>
      </c>
      <c r="R91" s="167">
        <f t="shared" si="11"/>
        <v>0</v>
      </c>
      <c r="S91" s="177"/>
      <c r="U91" s="177"/>
      <c r="W91" s="137"/>
    </row>
    <row r="92" spans="1:23" s="178" customFormat="1" ht="15">
      <c r="A92" s="136"/>
      <c r="B92" s="176" t="s">
        <v>145</v>
      </c>
      <c r="C92" s="118"/>
      <c r="D92" s="166">
        <f>январь!E58</f>
        <v>0</v>
      </c>
      <c r="E92" s="166">
        <f>февраль!E58</f>
        <v>0</v>
      </c>
      <c r="F92" s="166">
        <f>март!E58</f>
        <v>0</v>
      </c>
      <c r="G92" s="166">
        <f>апрель!E58</f>
        <v>0</v>
      </c>
      <c r="H92" s="118">
        <f>май!E58</f>
        <v>0</v>
      </c>
      <c r="I92" s="118">
        <f>июнь!E58</f>
        <v>961.73</v>
      </c>
      <c r="J92" s="130">
        <f>июль!E58</f>
        <v>248.39</v>
      </c>
      <c r="K92" s="130">
        <f>август!E59</f>
        <v>708.76</v>
      </c>
      <c r="L92" s="130">
        <f>сентябрь!E58</f>
        <v>809.22</v>
      </c>
      <c r="M92" s="130">
        <f>октябрь!E58</f>
        <v>1216.92</v>
      </c>
      <c r="N92" s="130">
        <f>ноябрь!E58</f>
        <v>791.22</v>
      </c>
      <c r="O92" s="130">
        <f>декабрь!E58</f>
        <v>1282.73</v>
      </c>
      <c r="P92" s="118">
        <f t="shared" si="15"/>
        <v>6018.969999999999</v>
      </c>
      <c r="Q92" s="118">
        <f aca="true" t="shared" si="19" ref="Q92:Q98">P92</f>
        <v>6018.969999999999</v>
      </c>
      <c r="R92" s="167">
        <f t="shared" si="11"/>
        <v>0</v>
      </c>
      <c r="S92" s="177"/>
      <c r="U92" s="177"/>
      <c r="W92" s="137"/>
    </row>
    <row r="93" spans="1:19" s="178" customFormat="1" ht="30">
      <c r="A93" s="136"/>
      <c r="B93" s="176" t="s">
        <v>64</v>
      </c>
      <c r="C93" s="118"/>
      <c r="D93" s="166">
        <f>январь!E59</f>
        <v>0</v>
      </c>
      <c r="E93" s="166">
        <f>февраль!E59</f>
        <v>0</v>
      </c>
      <c r="F93" s="166">
        <f>март!E59</f>
        <v>0</v>
      </c>
      <c r="G93" s="166">
        <f>апрель!E59</f>
        <v>0</v>
      </c>
      <c r="H93" s="118">
        <f>май!E59</f>
        <v>0</v>
      </c>
      <c r="I93" s="118">
        <f>июнь!E59</f>
        <v>3459.62</v>
      </c>
      <c r="J93" s="130">
        <f>июль!E59</f>
        <v>2499.24</v>
      </c>
      <c r="K93" s="130">
        <f>август!E60</f>
        <v>2989.78</v>
      </c>
      <c r="L93" s="130">
        <f>сентябрь!E59</f>
        <v>1499.28</v>
      </c>
      <c r="M93" s="130">
        <f>октябрь!E59</f>
        <v>1868.9099999999999</v>
      </c>
      <c r="N93" s="130">
        <f>ноябрь!E59</f>
        <v>2186.1</v>
      </c>
      <c r="O93" s="130">
        <f>декабрь!E59</f>
        <v>2048.74</v>
      </c>
      <c r="P93" s="118">
        <f t="shared" si="15"/>
        <v>16551.67</v>
      </c>
      <c r="Q93" s="118">
        <f t="shared" si="19"/>
        <v>16551.67</v>
      </c>
      <c r="R93" s="167">
        <f t="shared" si="11"/>
        <v>0</v>
      </c>
      <c r="S93" s="177"/>
    </row>
    <row r="94" spans="1:20" s="178" customFormat="1" ht="15">
      <c r="A94" s="136"/>
      <c r="B94" s="176" t="s">
        <v>69</v>
      </c>
      <c r="C94" s="118"/>
      <c r="D94" s="166">
        <f>январь!E60</f>
        <v>0</v>
      </c>
      <c r="E94" s="166">
        <f>февраль!E60</f>
        <v>0</v>
      </c>
      <c r="F94" s="166">
        <f>март!E60</f>
        <v>0</v>
      </c>
      <c r="G94" s="166">
        <f>апрель!E60</f>
        <v>0</v>
      </c>
      <c r="H94" s="118">
        <f>май!E60</f>
        <v>0</v>
      </c>
      <c r="I94" s="118">
        <f>июнь!E60</f>
        <v>1788.79</v>
      </c>
      <c r="J94" s="130">
        <f>июль!E60</f>
        <v>1788.79</v>
      </c>
      <c r="K94" s="130">
        <f>август!E61</f>
        <v>1992.11</v>
      </c>
      <c r="L94" s="130">
        <f>сентябрь!E60</f>
        <v>1992.11</v>
      </c>
      <c r="M94" s="130">
        <f>октябрь!E60</f>
        <v>1788.79</v>
      </c>
      <c r="N94" s="130">
        <f>ноябрь!E60</f>
        <v>1992.11</v>
      </c>
      <c r="O94" s="130">
        <f>декабрь!E60</f>
        <v>1992.11</v>
      </c>
      <c r="P94" s="118">
        <f t="shared" si="15"/>
        <v>13334.810000000001</v>
      </c>
      <c r="Q94" s="118">
        <f t="shared" si="19"/>
        <v>13334.810000000001</v>
      </c>
      <c r="R94" s="167">
        <f t="shared" si="11"/>
        <v>0</v>
      </c>
      <c r="S94" s="177"/>
      <c r="T94" s="177"/>
    </row>
    <row r="95" spans="1:19" s="178" customFormat="1" ht="15">
      <c r="A95" s="136"/>
      <c r="B95" s="176" t="s">
        <v>74</v>
      </c>
      <c r="C95" s="118"/>
      <c r="D95" s="166">
        <f>январь!E61</f>
        <v>0</v>
      </c>
      <c r="E95" s="166">
        <f>февраль!E61</f>
        <v>0</v>
      </c>
      <c r="F95" s="166">
        <f>март!E61</f>
        <v>0</v>
      </c>
      <c r="G95" s="166">
        <f>апрель!E61</f>
        <v>0</v>
      </c>
      <c r="H95" s="118">
        <f>май!E61</f>
        <v>0</v>
      </c>
      <c r="I95" s="118">
        <f>июнь!E61</f>
        <v>0</v>
      </c>
      <c r="J95" s="130">
        <f>июль!E61</f>
        <v>0</v>
      </c>
      <c r="K95" s="130">
        <f>август!E62</f>
        <v>0</v>
      </c>
      <c r="L95" s="130">
        <f>сентябрь!E61</f>
        <v>0</v>
      </c>
      <c r="M95" s="130">
        <f>октябрь!E61</f>
        <v>0</v>
      </c>
      <c r="N95" s="130">
        <f>ноябрь!E61</f>
        <v>0</v>
      </c>
      <c r="O95" s="130">
        <f>декабрь!E61</f>
        <v>0</v>
      </c>
      <c r="P95" s="118">
        <f t="shared" si="15"/>
        <v>0</v>
      </c>
      <c r="Q95" s="118">
        <f t="shared" si="19"/>
        <v>0</v>
      </c>
      <c r="R95" s="167">
        <f t="shared" si="11"/>
        <v>0</v>
      </c>
      <c r="S95" s="177"/>
    </row>
    <row r="96" spans="1:20" s="178" customFormat="1" ht="15">
      <c r="A96" s="136"/>
      <c r="B96" s="176" t="s">
        <v>72</v>
      </c>
      <c r="C96" s="118"/>
      <c r="D96" s="166">
        <f>январь!E62</f>
        <v>0</v>
      </c>
      <c r="E96" s="166">
        <f>февраль!E62</f>
        <v>0</v>
      </c>
      <c r="F96" s="166">
        <f>март!E62</f>
        <v>0</v>
      </c>
      <c r="G96" s="166">
        <f>апрель!E62</f>
        <v>0</v>
      </c>
      <c r="H96" s="118">
        <f>май!E62</f>
        <v>0</v>
      </c>
      <c r="I96" s="118">
        <f>июнь!E62</f>
        <v>854.79</v>
      </c>
      <c r="J96" s="130">
        <f>июль!E62</f>
        <v>854.79</v>
      </c>
      <c r="K96" s="130">
        <f>август!E63</f>
        <v>2576.39</v>
      </c>
      <c r="L96" s="130">
        <f>сентябрь!E62</f>
        <v>1582.59</v>
      </c>
      <c r="M96" s="130">
        <f>октябрь!E62</f>
        <v>581.19</v>
      </c>
      <c r="N96" s="130">
        <f>ноябрь!E62</f>
        <v>1518.31</v>
      </c>
      <c r="O96" s="130">
        <f>декабрь!E62</f>
        <v>1349.65</v>
      </c>
      <c r="P96" s="118">
        <f t="shared" si="15"/>
        <v>9317.71</v>
      </c>
      <c r="Q96" s="118">
        <f t="shared" si="19"/>
        <v>9317.71</v>
      </c>
      <c r="R96" s="167">
        <f t="shared" si="11"/>
        <v>0</v>
      </c>
      <c r="S96" s="177"/>
      <c r="T96" s="177"/>
    </row>
    <row r="97" spans="1:20" s="178" customFormat="1" ht="12.75" customHeight="1">
      <c r="A97" s="136"/>
      <c r="B97" s="176" t="s">
        <v>75</v>
      </c>
      <c r="C97" s="118"/>
      <c r="D97" s="166">
        <f>январь!E63</f>
        <v>0</v>
      </c>
      <c r="E97" s="166">
        <f>февраль!E63</f>
        <v>0</v>
      </c>
      <c r="F97" s="166">
        <f>март!E63</f>
        <v>0</v>
      </c>
      <c r="G97" s="166">
        <f>апрель!E63</f>
        <v>0</v>
      </c>
      <c r="H97" s="118">
        <f>май!E63</f>
        <v>0</v>
      </c>
      <c r="I97" s="118">
        <f>июнь!E63</f>
        <v>46</v>
      </c>
      <c r="J97" s="130">
        <f>июль!E63</f>
        <v>59.18</v>
      </c>
      <c r="K97" s="130">
        <f>август!E64</f>
        <v>125.25</v>
      </c>
      <c r="L97" s="130">
        <f>сентябрь!E63</f>
        <v>153.68</v>
      </c>
      <c r="M97" s="130">
        <f>октябрь!E63</f>
        <v>66.81</v>
      </c>
      <c r="N97" s="130">
        <f>ноябрь!E63</f>
        <v>69.31</v>
      </c>
      <c r="O97" s="130">
        <f>декабрь!E63</f>
        <v>69.93</v>
      </c>
      <c r="P97" s="118">
        <f t="shared" si="15"/>
        <v>590.1600000000001</v>
      </c>
      <c r="Q97" s="118">
        <f t="shared" si="19"/>
        <v>590.1600000000001</v>
      </c>
      <c r="R97" s="167">
        <f t="shared" si="11"/>
        <v>0</v>
      </c>
      <c r="S97" s="177"/>
      <c r="T97" s="177"/>
    </row>
    <row r="98" spans="1:19" s="178" customFormat="1" ht="15">
      <c r="A98" s="136"/>
      <c r="B98" s="176" t="s">
        <v>76</v>
      </c>
      <c r="C98" s="118"/>
      <c r="D98" s="166">
        <f>январь!E64</f>
        <v>0</v>
      </c>
      <c r="E98" s="166">
        <f>февраль!E64</f>
        <v>0</v>
      </c>
      <c r="F98" s="166">
        <f>март!E64</f>
        <v>0</v>
      </c>
      <c r="G98" s="166">
        <f>апрель!E64</f>
        <v>0</v>
      </c>
      <c r="H98" s="118">
        <f>май!E64</f>
        <v>0</v>
      </c>
      <c r="I98" s="118">
        <f>июнь!E64</f>
        <v>0</v>
      </c>
      <c r="J98" s="130">
        <f>июль!E64</f>
        <v>0</v>
      </c>
      <c r="K98" s="130">
        <f>август!E65</f>
        <v>0</v>
      </c>
      <c r="L98" s="130">
        <f>сентябрь!E64</f>
        <v>0</v>
      </c>
      <c r="M98" s="130">
        <f>октябрь!E64</f>
        <v>0</v>
      </c>
      <c r="N98" s="130">
        <f>ноябрь!E64</f>
        <v>0</v>
      </c>
      <c r="O98" s="130">
        <f>декабрь!E64</f>
        <v>0</v>
      </c>
      <c r="P98" s="118">
        <f t="shared" si="15"/>
        <v>0</v>
      </c>
      <c r="Q98" s="118">
        <f t="shared" si="19"/>
        <v>0</v>
      </c>
      <c r="R98" s="167">
        <f t="shared" si="11"/>
        <v>0</v>
      </c>
      <c r="S98" s="177"/>
    </row>
    <row r="99" spans="1:19" s="188" customFormat="1" ht="17.25" customHeight="1">
      <c r="A99" s="185"/>
      <c r="B99" s="179" t="s">
        <v>55</v>
      </c>
      <c r="C99" s="186"/>
      <c r="D99" s="166">
        <f>январь!E67</f>
        <v>0</v>
      </c>
      <c r="E99" s="166">
        <f>февраль!E67</f>
        <v>0</v>
      </c>
      <c r="F99" s="169">
        <f>март!E67</f>
        <v>0</v>
      </c>
      <c r="G99" s="112">
        <f>апрель!E67</f>
        <v>0</v>
      </c>
      <c r="H99" s="112">
        <f>май!E67</f>
        <v>0</v>
      </c>
      <c r="I99" s="112">
        <v>0</v>
      </c>
      <c r="J99" s="112">
        <f>июль!E67</f>
        <v>6717.13</v>
      </c>
      <c r="K99" s="112">
        <f>август!E68</f>
        <v>5946.56</v>
      </c>
      <c r="L99" s="112">
        <f>сентябрь!E67</f>
        <v>6743.12</v>
      </c>
      <c r="M99" s="112">
        <f>октябрь!E67</f>
        <v>7422.56</v>
      </c>
      <c r="N99" s="112">
        <f>ноябрь!E67</f>
        <v>6348.36</v>
      </c>
      <c r="O99" s="112">
        <f>декабрь!E67</f>
        <v>6578.78</v>
      </c>
      <c r="P99" s="112">
        <f t="shared" si="15"/>
        <v>39756.51</v>
      </c>
      <c r="Q99" s="112">
        <f>P99-O99</f>
        <v>33177.73</v>
      </c>
      <c r="R99" s="160">
        <f t="shared" si="11"/>
        <v>6578.779999999999</v>
      </c>
      <c r="S99" s="187"/>
    </row>
    <row r="100" spans="1:21" s="114" customFormat="1" ht="14.25">
      <c r="A100" s="138"/>
      <c r="B100" s="111" t="s">
        <v>146</v>
      </c>
      <c r="C100" s="112"/>
      <c r="D100" s="112">
        <f aca="true" t="shared" si="20" ref="D100:Q100">D90+D89+D88+D87+D86+D76+D67+D42+D99</f>
        <v>0</v>
      </c>
      <c r="E100" s="112">
        <f t="shared" si="20"/>
        <v>0</v>
      </c>
      <c r="F100" s="112">
        <f t="shared" si="20"/>
        <v>0</v>
      </c>
      <c r="G100" s="112">
        <f t="shared" si="20"/>
        <v>0</v>
      </c>
      <c r="H100" s="112">
        <f t="shared" si="20"/>
        <v>0</v>
      </c>
      <c r="I100" s="112">
        <f t="shared" si="20"/>
        <v>275327.21</v>
      </c>
      <c r="J100" s="112">
        <f t="shared" si="20"/>
        <v>255642.89999999997</v>
      </c>
      <c r="K100" s="112">
        <f t="shared" si="20"/>
        <v>287862.18</v>
      </c>
      <c r="L100" s="112">
        <f t="shared" si="20"/>
        <v>246518.43</v>
      </c>
      <c r="M100" s="112">
        <f t="shared" si="20"/>
        <v>337390.14999999997</v>
      </c>
      <c r="N100" s="112">
        <f t="shared" si="20"/>
        <v>281710.56999999995</v>
      </c>
      <c r="O100" s="112">
        <f t="shared" si="20"/>
        <v>276958.91000000003</v>
      </c>
      <c r="P100" s="112">
        <f t="shared" si="15"/>
        <v>1961410.35</v>
      </c>
      <c r="Q100" s="112">
        <f t="shared" si="20"/>
        <v>1627290.08</v>
      </c>
      <c r="R100" s="160">
        <f t="shared" si="11"/>
        <v>334120.27</v>
      </c>
      <c r="S100" s="113"/>
      <c r="U100" s="113" t="e">
        <f>U79-#REF!</f>
        <v>#REF!</v>
      </c>
    </row>
    <row r="101" spans="2:20" s="140" customFormat="1" ht="15" hidden="1">
      <c r="B101" s="140" t="s">
        <v>114</v>
      </c>
      <c r="C101" s="124"/>
      <c r="D101" s="124">
        <f aca="true" t="shared" si="21" ref="D101:Q101">D19-D100</f>
        <v>0</v>
      </c>
      <c r="E101" s="124">
        <f t="shared" si="21"/>
        <v>0</v>
      </c>
      <c r="F101" s="124">
        <f t="shared" si="21"/>
        <v>0</v>
      </c>
      <c r="G101" s="124">
        <f t="shared" si="21"/>
        <v>0</v>
      </c>
      <c r="H101" s="124">
        <f t="shared" si="21"/>
        <v>0</v>
      </c>
      <c r="I101" s="124">
        <f t="shared" si="21"/>
        <v>25232.669999999984</v>
      </c>
      <c r="J101" s="124">
        <f t="shared" si="21"/>
        <v>148544.81000000006</v>
      </c>
      <c r="K101" s="124">
        <f t="shared" si="21"/>
        <v>10091.270000000019</v>
      </c>
      <c r="L101" s="124">
        <f t="shared" si="21"/>
        <v>51316.02000000002</v>
      </c>
      <c r="M101" s="124">
        <f t="shared" si="21"/>
        <v>-87007.48999999996</v>
      </c>
      <c r="N101" s="124">
        <f t="shared" si="21"/>
        <v>8869.000000000058</v>
      </c>
      <c r="O101" s="124">
        <f t="shared" si="21"/>
        <v>-5366.119999999995</v>
      </c>
      <c r="P101" s="124">
        <f t="shared" si="21"/>
        <v>151680.15999999968</v>
      </c>
      <c r="Q101" s="124">
        <f t="shared" si="21"/>
        <v>-18872.648000000045</v>
      </c>
      <c r="R101" s="154">
        <f>C101+P101</f>
        <v>151680.15999999968</v>
      </c>
      <c r="S101" s="141"/>
      <c r="T101" s="141" t="e">
        <f>S101-#REF!</f>
        <v>#REF!</v>
      </c>
    </row>
    <row r="102" spans="2:19" s="76" customFormat="1" ht="15.75">
      <c r="B102" s="206" t="s">
        <v>102</v>
      </c>
      <c r="C102" s="207"/>
      <c r="D102" s="89"/>
      <c r="E102" s="89"/>
      <c r="F102" s="89"/>
      <c r="G102" s="89"/>
      <c r="H102" s="89"/>
      <c r="I102" s="89"/>
      <c r="J102" s="90"/>
      <c r="K102" s="90"/>
      <c r="L102" s="90"/>
      <c r="M102" s="90"/>
      <c r="N102" s="90"/>
      <c r="O102" s="90"/>
      <c r="P102" s="124"/>
      <c r="Q102" s="90"/>
      <c r="R102" s="154"/>
      <c r="S102" s="80"/>
    </row>
    <row r="103" spans="1:18" ht="15">
      <c r="A103" s="122"/>
      <c r="B103" s="123" t="s">
        <v>56</v>
      </c>
      <c r="C103" s="124"/>
      <c r="D103" s="124">
        <f>январь!E70</f>
        <v>0</v>
      </c>
      <c r="E103" s="124">
        <f>февраль!E70</f>
        <v>0</v>
      </c>
      <c r="F103" s="124">
        <f>март!E70</f>
        <v>0</v>
      </c>
      <c r="G103" s="124">
        <f>апрель!E70</f>
        <v>0</v>
      </c>
      <c r="H103" s="124">
        <f>май!E70</f>
        <v>0</v>
      </c>
      <c r="I103" s="124">
        <f>июнь!E70</f>
        <v>62353.62</v>
      </c>
      <c r="J103" s="125">
        <f>июль!E70</f>
        <v>71947.04</v>
      </c>
      <c r="K103" s="125">
        <f>август!E71</f>
        <v>69756.66</v>
      </c>
      <c r="L103" s="125">
        <f>сентябрь!E70</f>
        <v>76578.18</v>
      </c>
      <c r="M103" s="125">
        <f>октябрь!E70</f>
        <v>93224.48</v>
      </c>
      <c r="N103" s="125">
        <f>ноябрь!E70</f>
        <v>76228.8</v>
      </c>
      <c r="O103" s="125">
        <f>декабрь!E70</f>
        <v>81401.96</v>
      </c>
      <c r="P103" s="124">
        <f>SUM(D103:O103)</f>
        <v>531490.74</v>
      </c>
      <c r="Q103" s="125">
        <f>Q24+Q8</f>
        <v>379572.94</v>
      </c>
      <c r="R103" s="154">
        <f t="shared" si="11"/>
        <v>151917.8</v>
      </c>
    </row>
    <row r="104" spans="1:22" ht="15">
      <c r="A104" s="122"/>
      <c r="B104" s="123" t="s">
        <v>106</v>
      </c>
      <c r="C104" s="124"/>
      <c r="D104" s="124">
        <f>январь!E71</f>
        <v>0</v>
      </c>
      <c r="E104" s="124">
        <f>февраль!E71</f>
        <v>0</v>
      </c>
      <c r="F104" s="124">
        <f>март!E71</f>
        <v>0</v>
      </c>
      <c r="G104" s="124">
        <f>апрель!E71</f>
        <v>0</v>
      </c>
      <c r="H104" s="124">
        <f>май!E71</f>
        <v>0</v>
      </c>
      <c r="I104" s="124">
        <f>июнь!E71</f>
        <v>0</v>
      </c>
      <c r="J104" s="125">
        <f>июль!E71</f>
        <v>0</v>
      </c>
      <c r="K104" s="125">
        <f>август!E72</f>
        <v>0</v>
      </c>
      <c r="L104" s="125">
        <f>сентябрь!E71</f>
        <v>21053.66</v>
      </c>
      <c r="M104" s="125">
        <f>октябрь!E71</f>
        <v>159207.39</v>
      </c>
      <c r="N104" s="125">
        <f>ноябрь!E71</f>
        <v>219558.57</v>
      </c>
      <c r="O104" s="125">
        <f>декабрь!E71</f>
        <v>322370.02</v>
      </c>
      <c r="P104" s="124">
        <f>SUM(D104:O104)</f>
        <v>722189.64</v>
      </c>
      <c r="Q104" s="125">
        <f>Q25</f>
        <v>294893.69</v>
      </c>
      <c r="R104" s="154">
        <f t="shared" si="11"/>
        <v>427295.95</v>
      </c>
      <c r="S104" s="126">
        <f>P104+P105</f>
        <v>941831.88</v>
      </c>
      <c r="U104" s="142" t="e">
        <f>#REF!+#REF!</f>
        <v>#REF!</v>
      </c>
      <c r="V104" s="133" t="e">
        <f>U104*5%</f>
        <v>#REF!</v>
      </c>
    </row>
    <row r="105" spans="1:18" ht="15">
      <c r="A105" s="122"/>
      <c r="B105" s="123" t="s">
        <v>58</v>
      </c>
      <c r="C105" s="124"/>
      <c r="D105" s="124">
        <f>январь!E72</f>
        <v>0</v>
      </c>
      <c r="E105" s="124">
        <f>февраль!E72</f>
        <v>0</v>
      </c>
      <c r="F105" s="124">
        <f>март!E72</f>
        <v>0</v>
      </c>
      <c r="G105" s="124">
        <f>апрель!E72</f>
        <v>0</v>
      </c>
      <c r="H105" s="124">
        <f>май!E72</f>
        <v>0</v>
      </c>
      <c r="I105" s="124">
        <f>июнь!E72</f>
        <v>29678.23</v>
      </c>
      <c r="J105" s="125">
        <f>июль!E72</f>
        <v>24384.56</v>
      </c>
      <c r="K105" s="125">
        <f>август!E73</f>
        <v>31671.39</v>
      </c>
      <c r="L105" s="125">
        <f>сентябрь!E72</f>
        <v>35322.07</v>
      </c>
      <c r="M105" s="125">
        <f>октябрь!E72</f>
        <v>32189.49</v>
      </c>
      <c r="N105" s="125">
        <f>ноябрь!E72</f>
        <v>35539.99</v>
      </c>
      <c r="O105" s="125">
        <f>декабрь!E72</f>
        <v>30856.51</v>
      </c>
      <c r="P105" s="124">
        <f>SUM(D105:O105)</f>
        <v>219642.24</v>
      </c>
      <c r="Q105" s="125">
        <f>Q26</f>
        <v>167949.05</v>
      </c>
      <c r="R105" s="154">
        <f t="shared" si="11"/>
        <v>51693.19</v>
      </c>
    </row>
    <row r="106" spans="1:19" ht="15">
      <c r="A106" s="122" t="s">
        <v>95</v>
      </c>
      <c r="B106" s="123" t="s">
        <v>109</v>
      </c>
      <c r="C106" s="124"/>
      <c r="D106" s="124">
        <f>январь!E73</f>
        <v>0</v>
      </c>
      <c r="E106" s="124">
        <f>февраль!E73</f>
        <v>0</v>
      </c>
      <c r="F106" s="124">
        <f>март!E73</f>
        <v>0</v>
      </c>
      <c r="G106" s="124">
        <f>апрель!E73</f>
        <v>0</v>
      </c>
      <c r="H106" s="124">
        <f>май!E73</f>
        <v>0</v>
      </c>
      <c r="I106" s="124">
        <f>июнь!E73</f>
        <v>19168.09</v>
      </c>
      <c r="J106" s="125">
        <f>июль!E73</f>
        <v>20689.64</v>
      </c>
      <c r="K106" s="125">
        <f>август!E74</f>
        <v>21756.71</v>
      </c>
      <c r="L106" s="125">
        <f>сентябрь!E73</f>
        <v>22466.22</v>
      </c>
      <c r="M106" s="125">
        <f>октябрь!E73</f>
        <v>24370.74</v>
      </c>
      <c r="N106" s="125">
        <f>ноябрь!E73</f>
        <v>21339.54</v>
      </c>
      <c r="O106" s="125">
        <f>декабрь!E73</f>
        <v>26742.27</v>
      </c>
      <c r="P106" s="124">
        <f>SUM(D106:O106)</f>
        <v>156533.21</v>
      </c>
      <c r="Q106" s="125">
        <f>Q22</f>
        <v>95078.41</v>
      </c>
      <c r="R106" s="154">
        <f t="shared" si="11"/>
        <v>61454.79999999999</v>
      </c>
      <c r="S106" s="126">
        <f>P106+P107</f>
        <v>321493.57</v>
      </c>
    </row>
    <row r="107" spans="1:18" ht="15">
      <c r="A107" s="122"/>
      <c r="B107" s="123" t="s">
        <v>60</v>
      </c>
      <c r="C107" s="124"/>
      <c r="D107" s="124">
        <f>январь!E74</f>
        <v>0</v>
      </c>
      <c r="E107" s="124">
        <f>февраль!E74</f>
        <v>0</v>
      </c>
      <c r="F107" s="124">
        <f>март!E74</f>
        <v>0</v>
      </c>
      <c r="G107" s="124">
        <f>апрель!E74</f>
        <v>0</v>
      </c>
      <c r="H107" s="124">
        <f>май!E74</f>
        <v>0</v>
      </c>
      <c r="I107" s="124">
        <f>июнь!E74</f>
        <v>20822.780000000002</v>
      </c>
      <c r="J107" s="125">
        <f>июль!E74</f>
        <v>19026.93</v>
      </c>
      <c r="K107" s="125">
        <f>август!E75</f>
        <v>25091.63</v>
      </c>
      <c r="L107" s="125">
        <f>сентябрь!E74</f>
        <v>24177.13</v>
      </c>
      <c r="M107" s="125">
        <f>октябрь!E74</f>
        <v>25240.73</v>
      </c>
      <c r="N107" s="125">
        <f>ноябрь!E74</f>
        <v>24867.35</v>
      </c>
      <c r="O107" s="125">
        <f>декабрь!E74</f>
        <v>25733.81</v>
      </c>
      <c r="P107" s="124">
        <f>SUM(D107:O107)</f>
        <v>164960.36000000002</v>
      </c>
      <c r="Q107" s="125">
        <f>Q23+Q6</f>
        <v>104955.05</v>
      </c>
      <c r="R107" s="154">
        <f t="shared" si="11"/>
        <v>60005.31000000001</v>
      </c>
    </row>
    <row r="108" spans="1:19" s="114" customFormat="1" ht="14.25">
      <c r="A108" s="138"/>
      <c r="B108" s="111" t="s">
        <v>147</v>
      </c>
      <c r="C108" s="112">
        <f aca="true" t="shared" si="22" ref="C108:Q108">SUM(C103:C107)</f>
        <v>0</v>
      </c>
      <c r="D108" s="112">
        <f t="shared" si="22"/>
        <v>0</v>
      </c>
      <c r="E108" s="112">
        <f t="shared" si="22"/>
        <v>0</v>
      </c>
      <c r="F108" s="112">
        <f t="shared" si="22"/>
        <v>0</v>
      </c>
      <c r="G108" s="112">
        <f t="shared" si="22"/>
        <v>0</v>
      </c>
      <c r="H108" s="112">
        <f t="shared" si="22"/>
        <v>0</v>
      </c>
      <c r="I108" s="112">
        <f t="shared" si="22"/>
        <v>132022.72</v>
      </c>
      <c r="J108" s="112">
        <f t="shared" si="22"/>
        <v>136048.16999999998</v>
      </c>
      <c r="K108" s="112">
        <f t="shared" si="22"/>
        <v>148276.39</v>
      </c>
      <c r="L108" s="112">
        <f t="shared" si="22"/>
        <v>179597.26</v>
      </c>
      <c r="M108" s="112">
        <f t="shared" si="22"/>
        <v>334232.82999999996</v>
      </c>
      <c r="N108" s="112">
        <f t="shared" si="22"/>
        <v>377534.24999999994</v>
      </c>
      <c r="O108" s="112">
        <f t="shared" si="22"/>
        <v>487104.57000000007</v>
      </c>
      <c r="P108" s="112">
        <f t="shared" si="22"/>
        <v>1794816.19</v>
      </c>
      <c r="Q108" s="112">
        <f t="shared" si="22"/>
        <v>1042449.14</v>
      </c>
      <c r="R108" s="160">
        <f>C108+P108-Q108</f>
        <v>752367.0499999999</v>
      </c>
      <c r="S108" s="113"/>
    </row>
    <row r="109" spans="2:20" s="140" customFormat="1" ht="15" hidden="1">
      <c r="B109" s="140" t="s">
        <v>114</v>
      </c>
      <c r="C109" s="141"/>
      <c r="D109" s="141" t="e">
        <f aca="true" t="shared" si="23" ref="D109:Q109">D33-D108</f>
        <v>#REF!</v>
      </c>
      <c r="E109" s="141" t="e">
        <f t="shared" si="23"/>
        <v>#REF!</v>
      </c>
      <c r="F109" s="141" t="e">
        <f t="shared" si="23"/>
        <v>#REF!</v>
      </c>
      <c r="G109" s="141" t="e">
        <f t="shared" si="23"/>
        <v>#REF!</v>
      </c>
      <c r="H109" s="141" t="e">
        <f t="shared" si="23"/>
        <v>#REF!</v>
      </c>
      <c r="I109" s="141">
        <f t="shared" si="23"/>
        <v>11762.26999999999</v>
      </c>
      <c r="J109" s="141">
        <f t="shared" si="23"/>
        <v>3027.6300000000047</v>
      </c>
      <c r="K109" s="141">
        <f t="shared" si="23"/>
        <v>-8138.040000000008</v>
      </c>
      <c r="L109" s="141">
        <f t="shared" si="23"/>
        <v>6365.720000000001</v>
      </c>
      <c r="M109" s="141">
        <f t="shared" si="23"/>
        <v>5887.9700000000885</v>
      </c>
      <c r="N109" s="141">
        <f t="shared" si="23"/>
        <v>-3564.289999999921</v>
      </c>
      <c r="O109" s="141">
        <f t="shared" si="23"/>
        <v>-3462.1200000000536</v>
      </c>
      <c r="P109" s="141">
        <f t="shared" si="23"/>
        <v>11879.139999999898</v>
      </c>
      <c r="Q109" s="141">
        <f t="shared" si="23"/>
        <v>49650.91999999981</v>
      </c>
      <c r="R109" s="154">
        <f>C109+P109</f>
        <v>11879.139999999898</v>
      </c>
      <c r="S109" s="141"/>
      <c r="T109" s="141" t="e">
        <f>S109-#REF!</f>
        <v>#REF!</v>
      </c>
    </row>
    <row r="110" spans="1:22" s="114" customFormat="1" ht="14.25">
      <c r="A110" s="138"/>
      <c r="B110" s="111" t="s">
        <v>115</v>
      </c>
      <c r="C110" s="112"/>
      <c r="D110" s="112">
        <f>D100+D108</f>
        <v>0</v>
      </c>
      <c r="E110" s="112">
        <f aca="true" t="shared" si="24" ref="D110:Q111">E100+E108</f>
        <v>0</v>
      </c>
      <c r="F110" s="112">
        <f t="shared" si="24"/>
        <v>0</v>
      </c>
      <c r="G110" s="112">
        <f t="shared" si="24"/>
        <v>0</v>
      </c>
      <c r="H110" s="112">
        <f t="shared" si="24"/>
        <v>0</v>
      </c>
      <c r="I110" s="112">
        <f t="shared" si="24"/>
        <v>407349.93000000005</v>
      </c>
      <c r="J110" s="112">
        <f t="shared" si="24"/>
        <v>391691.06999999995</v>
      </c>
      <c r="K110" s="112">
        <f t="shared" si="24"/>
        <v>436138.57</v>
      </c>
      <c r="L110" s="112">
        <f t="shared" si="24"/>
        <v>426115.69</v>
      </c>
      <c r="M110" s="112">
        <f t="shared" si="24"/>
        <v>671622.98</v>
      </c>
      <c r="N110" s="112">
        <f t="shared" si="24"/>
        <v>659244.8199999998</v>
      </c>
      <c r="O110" s="112">
        <f t="shared" si="24"/>
        <v>764063.4800000001</v>
      </c>
      <c r="P110" s="112">
        <f t="shared" si="24"/>
        <v>3756226.54</v>
      </c>
      <c r="Q110" s="112">
        <f t="shared" si="24"/>
        <v>2669739.22</v>
      </c>
      <c r="R110" s="160">
        <f>C110+P110-Q110</f>
        <v>1086487.3199999998</v>
      </c>
      <c r="S110" s="113"/>
      <c r="V110" s="113">
        <v>1999832.440690475</v>
      </c>
    </row>
    <row r="111" spans="2:20" s="140" customFormat="1" ht="30">
      <c r="B111" s="143" t="s">
        <v>116</v>
      </c>
      <c r="C111" s="144"/>
      <c r="D111" s="144" t="e">
        <f t="shared" si="24"/>
        <v>#REF!</v>
      </c>
      <c r="E111" s="144" t="e">
        <f t="shared" si="24"/>
        <v>#REF!</v>
      </c>
      <c r="F111" s="144" t="e">
        <f t="shared" si="24"/>
        <v>#REF!</v>
      </c>
      <c r="G111" s="144" t="e">
        <f t="shared" si="24"/>
        <v>#REF!</v>
      </c>
      <c r="H111" s="144" t="e">
        <f t="shared" si="24"/>
        <v>#REF!</v>
      </c>
      <c r="I111" s="144">
        <f t="shared" si="24"/>
        <v>36994.93999999997</v>
      </c>
      <c r="J111" s="144">
        <f t="shared" si="24"/>
        <v>151572.44000000006</v>
      </c>
      <c r="K111" s="144">
        <f t="shared" si="24"/>
        <v>1953.2300000000105</v>
      </c>
      <c r="L111" s="144">
        <f t="shared" si="24"/>
        <v>57681.74000000002</v>
      </c>
      <c r="M111" s="144">
        <f t="shared" si="24"/>
        <v>-81119.51999999987</v>
      </c>
      <c r="N111" s="144">
        <f t="shared" si="24"/>
        <v>5304.710000000137</v>
      </c>
      <c r="O111" s="144">
        <f t="shared" si="24"/>
        <v>-8828.240000000049</v>
      </c>
      <c r="P111" s="144">
        <f>P109+P101</f>
        <v>163559.29999999958</v>
      </c>
      <c r="Q111" s="144">
        <f t="shared" si="24"/>
        <v>30778.271999999764</v>
      </c>
      <c r="R111" s="144">
        <f>C111+P111</f>
        <v>163559.29999999958</v>
      </c>
      <c r="S111" s="141"/>
      <c r="T111" s="141" t="e">
        <f>S111-#REF!</f>
        <v>#REF!</v>
      </c>
    </row>
    <row r="112" spans="2:20" s="140" customFormat="1" ht="15"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1"/>
      <c r="T112" s="141"/>
    </row>
    <row r="113" spans="2:19" ht="12.75" hidden="1">
      <c r="B113" s="127" t="s">
        <v>117</v>
      </c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7"/>
    </row>
    <row r="114" spans="2:19" ht="12.75" hidden="1">
      <c r="B114" s="127" t="s">
        <v>57</v>
      </c>
      <c r="C114" s="126"/>
      <c r="D114" s="126" t="e">
        <f>D104-D32-#REF!-D25</f>
        <v>#REF!</v>
      </c>
      <c r="E114" s="126" t="e">
        <f>E104-E32-#REF!-E25</f>
        <v>#REF!</v>
      </c>
      <c r="F114" s="126" t="e">
        <f>F104-F32-#REF!-F25</f>
        <v>#REF!</v>
      </c>
      <c r="G114" s="126" t="e">
        <f>G104-G32-#REF!-G25</f>
        <v>#REF!</v>
      </c>
      <c r="H114" s="126" t="e">
        <f>H104-H32-#REF!-H25</f>
        <v>#REF!</v>
      </c>
      <c r="I114" s="126" t="e">
        <f>I104-I32-#REF!-I25</f>
        <v>#REF!</v>
      </c>
      <c r="J114" s="126" t="e">
        <f>J104-J32-#REF!-J25</f>
        <v>#REF!</v>
      </c>
      <c r="K114" s="126" t="e">
        <f>K104-K32-#REF!-K25</f>
        <v>#REF!</v>
      </c>
      <c r="L114" s="126" t="e">
        <f>L104-L32-#REF!-L25</f>
        <v>#REF!</v>
      </c>
      <c r="M114" s="126" t="e">
        <f>M104-M32-#REF!-M25</f>
        <v>#REF!</v>
      </c>
      <c r="N114" s="126" t="e">
        <f>N104-N32-#REF!-N25</f>
        <v>#REF!</v>
      </c>
      <c r="O114" s="126" t="e">
        <f>O104-O32-#REF!-O25</f>
        <v>#REF!</v>
      </c>
      <c r="P114" s="141" t="e">
        <f>SUM(D114:O114)</f>
        <v>#REF!</v>
      </c>
      <c r="Q114" s="141" t="e">
        <f>P114/2429.5</f>
        <v>#REF!</v>
      </c>
      <c r="R114" s="126"/>
      <c r="S114" s="127"/>
    </row>
    <row r="115" spans="2:19" ht="12.75" hidden="1">
      <c r="B115" s="127" t="s">
        <v>108</v>
      </c>
      <c r="C115" s="126"/>
      <c r="D115" s="126" t="e">
        <f>D105-D28-#REF!-#REF!-D26</f>
        <v>#REF!</v>
      </c>
      <c r="E115" s="126" t="e">
        <f>E105-E28-#REF!-#REF!-E26</f>
        <v>#REF!</v>
      </c>
      <c r="F115" s="126" t="e">
        <f>F105-F28-#REF!-#REF!-F26</f>
        <v>#REF!</v>
      </c>
      <c r="G115" s="126" t="e">
        <f>G105-G28-#REF!-#REF!-G26</f>
        <v>#REF!</v>
      </c>
      <c r="H115" s="126" t="e">
        <f>H105-H28-#REF!-#REF!-H26</f>
        <v>#REF!</v>
      </c>
      <c r="I115" s="126" t="e">
        <f>I105-I28-#REF!-#REF!-I26</f>
        <v>#REF!</v>
      </c>
      <c r="J115" s="126" t="e">
        <f>J105-J28-#REF!-#REF!-J26</f>
        <v>#REF!</v>
      </c>
      <c r="K115" s="126" t="e">
        <f>K105-K28-#REF!-#REF!-K26</f>
        <v>#REF!</v>
      </c>
      <c r="L115" s="126" t="e">
        <f>L105-L28-#REF!-#REF!-L26</f>
        <v>#REF!</v>
      </c>
      <c r="M115" s="126" t="e">
        <f>M105-M28-#REF!-#REF!-M26</f>
        <v>#REF!</v>
      </c>
      <c r="N115" s="126" t="e">
        <f>N105-N28-#REF!-#REF!-N26</f>
        <v>#REF!</v>
      </c>
      <c r="O115" s="126" t="e">
        <f>O105-O28-#REF!-#REF!-O26</f>
        <v>#REF!</v>
      </c>
      <c r="P115" s="141" t="e">
        <f>SUM(D115:O115)</f>
        <v>#REF!</v>
      </c>
      <c r="Q115" s="147"/>
      <c r="R115" s="147"/>
      <c r="S115" s="127"/>
    </row>
    <row r="116" spans="2:19" ht="12.75" hidden="1">
      <c r="B116" s="127" t="s">
        <v>118</v>
      </c>
      <c r="C116" s="126"/>
      <c r="D116" s="126" t="e">
        <f>D106-D29-#REF!-#REF!-D22</f>
        <v>#REF!</v>
      </c>
      <c r="E116" s="126" t="e">
        <f>E106-E29-#REF!-#REF!-E22</f>
        <v>#REF!</v>
      </c>
      <c r="F116" s="126" t="e">
        <f>F106-F29-#REF!-#REF!-F22</f>
        <v>#REF!</v>
      </c>
      <c r="G116" s="126" t="e">
        <f>G106-G29-#REF!-#REF!-G22</f>
        <v>#REF!</v>
      </c>
      <c r="H116" s="126" t="e">
        <f>H106-H29-#REF!-#REF!-H22</f>
        <v>#REF!</v>
      </c>
      <c r="I116" s="126" t="e">
        <f>I106-I29-#REF!-#REF!-I22</f>
        <v>#REF!</v>
      </c>
      <c r="J116" s="126" t="e">
        <f>J106-J29-#REF!-#REF!-J22</f>
        <v>#REF!</v>
      </c>
      <c r="K116" s="126" t="e">
        <f>K106-K29-#REF!-#REF!-K22</f>
        <v>#REF!</v>
      </c>
      <c r="L116" s="126" t="e">
        <f>L106-L29-#REF!-#REF!-L22</f>
        <v>#REF!</v>
      </c>
      <c r="M116" s="126" t="e">
        <f>M106-M29-#REF!-#REF!-M22</f>
        <v>#REF!</v>
      </c>
      <c r="N116" s="126" t="e">
        <f>N106-N29-#REF!-#REF!-N22</f>
        <v>#REF!</v>
      </c>
      <c r="O116" s="126" t="e">
        <f>O106-O29-#REF!-#REF!-O22</f>
        <v>#REF!</v>
      </c>
      <c r="P116" s="141" t="e">
        <f>SUM(D116:O116)</f>
        <v>#REF!</v>
      </c>
      <c r="Q116" s="147"/>
      <c r="R116" s="147"/>
      <c r="S116" s="127"/>
    </row>
    <row r="117" spans="2:19" ht="12.75" hidden="1">
      <c r="B117" s="127" t="s">
        <v>119</v>
      </c>
      <c r="C117" s="126"/>
      <c r="D117" s="126" t="e">
        <f>D107-D30-#REF!-#REF!-D23</f>
        <v>#REF!</v>
      </c>
      <c r="E117" s="126" t="e">
        <f>E107-E30-#REF!-#REF!-E23</f>
        <v>#REF!</v>
      </c>
      <c r="F117" s="126" t="e">
        <f>F107-F30-#REF!-#REF!-F23</f>
        <v>#REF!</v>
      </c>
      <c r="G117" s="126" t="e">
        <f>G107-G30-#REF!-#REF!-G23</f>
        <v>#REF!</v>
      </c>
      <c r="H117" s="126" t="e">
        <f>H107-H30-#REF!-#REF!-H23</f>
        <v>#REF!</v>
      </c>
      <c r="I117" s="126" t="e">
        <f>I107-I30-#REF!-#REF!-I23</f>
        <v>#REF!</v>
      </c>
      <c r="J117" s="126" t="e">
        <f>J107-J30-#REF!-#REF!-J23</f>
        <v>#REF!</v>
      </c>
      <c r="K117" s="126" t="e">
        <f>K107-K30-#REF!-#REF!-K23</f>
        <v>#REF!</v>
      </c>
      <c r="L117" s="126" t="e">
        <f>L107-L30-#REF!-#REF!-L23</f>
        <v>#REF!</v>
      </c>
      <c r="M117" s="126" t="e">
        <f>M107-M30-#REF!-#REF!-M23</f>
        <v>#REF!</v>
      </c>
      <c r="N117" s="126" t="e">
        <f>N107-N30-#REF!-#REF!-N23</f>
        <v>#REF!</v>
      </c>
      <c r="O117" s="126" t="e">
        <f>O107-O30-#REF!-#REF!-O23</f>
        <v>#REF!</v>
      </c>
      <c r="P117" s="141" t="e">
        <f>SUM(D117:O117)</f>
        <v>#REF!</v>
      </c>
      <c r="Q117" s="147"/>
      <c r="R117" s="147"/>
      <c r="S117" s="127"/>
    </row>
    <row r="118" spans="2:19" ht="12.75" hidden="1">
      <c r="B118" s="127" t="s">
        <v>120</v>
      </c>
      <c r="C118" s="126"/>
      <c r="D118" s="126" t="e">
        <f>D103-D31-#REF!-D24</f>
        <v>#REF!</v>
      </c>
      <c r="E118" s="126" t="e">
        <f>E103-E31-#REF!-E24</f>
        <v>#REF!</v>
      </c>
      <c r="F118" s="126" t="e">
        <f>F103-F31-#REF!-F24</f>
        <v>#REF!</v>
      </c>
      <c r="G118" s="126" t="e">
        <f>G103-G31-#REF!-G24</f>
        <v>#REF!</v>
      </c>
      <c r="H118" s="126" t="e">
        <f>H103-H31-#REF!-H24</f>
        <v>#REF!</v>
      </c>
      <c r="I118" s="126" t="e">
        <f>I103-I31-#REF!-I24</f>
        <v>#REF!</v>
      </c>
      <c r="J118" s="126" t="e">
        <f>J103-J31-#REF!-J24</f>
        <v>#REF!</v>
      </c>
      <c r="K118" s="126" t="e">
        <f>K103-K31-#REF!-K24</f>
        <v>#REF!</v>
      </c>
      <c r="L118" s="126" t="e">
        <f>L103-L31-#REF!-L24</f>
        <v>#REF!</v>
      </c>
      <c r="M118" s="126" t="e">
        <f>M103-M31-#REF!-M24</f>
        <v>#REF!</v>
      </c>
      <c r="N118" s="126" t="e">
        <f>N103-N31-#REF!-N24</f>
        <v>#REF!</v>
      </c>
      <c r="O118" s="126" t="e">
        <f>O103-O31-#REF!-O24</f>
        <v>#REF!</v>
      </c>
      <c r="P118" s="141" t="e">
        <f>SUM(D118:O118)</f>
        <v>#REF!</v>
      </c>
      <c r="Q118" s="147"/>
      <c r="R118" s="147"/>
      <c r="S118" s="127"/>
    </row>
    <row r="119" spans="3:19" ht="12.75"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47"/>
      <c r="O119" s="147"/>
      <c r="P119" s="147"/>
      <c r="Q119" s="147"/>
      <c r="R119" s="147"/>
      <c r="S119" s="127"/>
    </row>
    <row r="121" spans="2:3" ht="12.75">
      <c r="B121" s="127" t="s">
        <v>121</v>
      </c>
      <c r="C121" s="127" t="s">
        <v>221</v>
      </c>
    </row>
    <row r="123" spans="2:12" ht="12.75">
      <c r="B123" s="127" t="s">
        <v>123</v>
      </c>
      <c r="C123" s="127" t="s">
        <v>124</v>
      </c>
      <c r="L123" s="126"/>
    </row>
  </sheetData>
  <mergeCells count="5">
    <mergeCell ref="B102:C102"/>
    <mergeCell ref="B1:R1"/>
    <mergeCell ref="B21:C21"/>
    <mergeCell ref="B39:R39"/>
    <mergeCell ref="B40:C4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rowBreaks count="2" manualBreakCount="2">
    <brk id="37" max="17" man="1"/>
    <brk id="85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49">
      <selection activeCell="E60" sqref="E60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4" t="s">
        <v>0</v>
      </c>
      <c r="B1" s="204"/>
      <c r="C1" s="1" t="s">
        <v>209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4" t="s">
        <v>8</v>
      </c>
      <c r="B3" s="204"/>
      <c r="C3" s="204"/>
      <c r="D3" s="204"/>
      <c r="E3" s="204"/>
      <c r="F3" s="3" t="s">
        <v>162</v>
      </c>
      <c r="G3" s="1"/>
    </row>
    <row r="4" s="2" customFormat="1" ht="15">
      <c r="A4" s="53"/>
    </row>
    <row r="5" spans="1:8" s="2" customFormat="1" ht="18.75">
      <c r="A5" s="205" t="s">
        <v>176</v>
      </c>
      <c r="B5" s="205"/>
      <c r="C5" s="205"/>
      <c r="D5" s="205"/>
      <c r="E5" s="205"/>
      <c r="F5" s="205"/>
      <c r="G5" s="205"/>
      <c r="H5" s="205"/>
    </row>
    <row r="6" spans="1:8" s="2" customFormat="1" ht="15">
      <c r="A6" s="215" t="s">
        <v>149</v>
      </c>
      <c r="B6" s="215"/>
      <c r="C6" s="215"/>
      <c r="D6" s="215"/>
      <c r="E6" s="215"/>
      <c r="F6" s="215"/>
      <c r="G6" s="215"/>
      <c r="H6" s="215"/>
    </row>
    <row r="7" spans="1:6" s="2" customFormat="1" ht="15">
      <c r="A7" s="53"/>
      <c r="B7" s="4" t="s">
        <v>2</v>
      </c>
      <c r="C7" s="4"/>
      <c r="D7" s="5" t="s">
        <v>177</v>
      </c>
      <c r="E7" s="4"/>
      <c r="F7" s="4"/>
    </row>
    <row r="8" s="2" customFormat="1" ht="7.5" customHeight="1">
      <c r="A8" s="53"/>
    </row>
    <row r="9" spans="1:9" s="2" customFormat="1" ht="15">
      <c r="A9" s="149" t="s">
        <v>23</v>
      </c>
      <c r="B9" s="149"/>
      <c r="C9" s="149"/>
      <c r="D9" s="149"/>
      <c r="E9" s="149"/>
      <c r="F9" s="149"/>
      <c r="G9" s="149"/>
      <c r="H9" s="7">
        <v>12565.6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41468.7</v>
      </c>
      <c r="F11" s="23">
        <v>520</v>
      </c>
      <c r="G11" s="23">
        <f aca="true" t="shared" si="0" ref="G11:G27">E11+F11</f>
        <v>41988.7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9817.06</v>
      </c>
      <c r="F12" s="23">
        <v>335</v>
      </c>
      <c r="G12" s="23">
        <f t="shared" si="0"/>
        <v>10152.06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6" t="s">
        <v>129</v>
      </c>
      <c r="C14" s="159"/>
      <c r="D14" s="159"/>
      <c r="E14" s="159"/>
      <c r="F14" s="159">
        <v>220</v>
      </c>
      <c r="G14" s="23">
        <f t="shared" si="0"/>
        <v>220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46428.48</v>
      </c>
      <c r="F15" s="23"/>
      <c r="G15" s="23">
        <f t="shared" si="0"/>
        <v>46428.48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26654.9</v>
      </c>
      <c r="F16" s="23"/>
      <c r="G16" s="23">
        <f t="shared" si="0"/>
        <v>26654.9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931.8</v>
      </c>
      <c r="F17" s="23"/>
      <c r="G17" s="23">
        <f t="shared" si="0"/>
        <v>931.8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>
        <v>2244.3</v>
      </c>
      <c r="F18" s="23"/>
      <c r="G18" s="23">
        <f t="shared" si="0"/>
        <v>2244.3</v>
      </c>
      <c r="H18" s="19"/>
    </row>
    <row r="19" spans="1:8" s="2" customFormat="1" ht="15">
      <c r="A19" s="17" t="s">
        <v>134</v>
      </c>
      <c r="B19" s="18" t="s">
        <v>50</v>
      </c>
      <c r="C19" s="15" t="s">
        <v>16</v>
      </c>
      <c r="D19" s="19">
        <v>1</v>
      </c>
      <c r="E19" s="23">
        <v>5950</v>
      </c>
      <c r="F19" s="23"/>
      <c r="G19" s="23">
        <f t="shared" si="0"/>
        <v>5950</v>
      </c>
      <c r="H19" s="19"/>
    </row>
    <row r="20" spans="1:8" s="2" customFormat="1" ht="15">
      <c r="A20" s="17" t="s">
        <v>135</v>
      </c>
      <c r="B20" s="33" t="s">
        <v>103</v>
      </c>
      <c r="C20" s="15" t="s">
        <v>16</v>
      </c>
      <c r="D20" s="19">
        <v>1</v>
      </c>
      <c r="E20" s="23">
        <v>554.36</v>
      </c>
      <c r="F20" s="23"/>
      <c r="G20" s="23">
        <f t="shared" si="0"/>
        <v>554.36</v>
      </c>
      <c r="H20" s="19"/>
    </row>
    <row r="21" spans="1:8" s="2" customFormat="1" ht="15">
      <c r="A21" s="17" t="s">
        <v>186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187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188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10" s="2" customFormat="1" ht="15">
      <c r="A24" s="17" t="s">
        <v>189</v>
      </c>
      <c r="B24" s="18" t="s">
        <v>48</v>
      </c>
      <c r="C24" s="15"/>
      <c r="D24" s="19"/>
      <c r="E24" s="23">
        <f>E25+E26+E27</f>
        <v>2600</v>
      </c>
      <c r="F24" s="23">
        <f>F25+F26</f>
        <v>0</v>
      </c>
      <c r="G24" s="23">
        <f>G25+G26+G27</f>
        <v>2600</v>
      </c>
      <c r="H24" s="19"/>
      <c r="J24" s="2" t="s">
        <v>95</v>
      </c>
    </row>
    <row r="25" spans="1:8" s="4" customFormat="1" ht="15">
      <c r="A25" s="55"/>
      <c r="B25" s="34" t="s">
        <v>164</v>
      </c>
      <c r="C25" s="161"/>
      <c r="D25" s="35"/>
      <c r="E25" s="36">
        <v>2600</v>
      </c>
      <c r="F25" s="36"/>
      <c r="G25" s="23">
        <f t="shared" si="0"/>
        <v>2600</v>
      </c>
      <c r="H25" s="35"/>
    </row>
    <row r="26" spans="1:8" s="4" customFormat="1" ht="15">
      <c r="A26" s="55"/>
      <c r="B26" s="34"/>
      <c r="C26" s="161"/>
      <c r="D26" s="35"/>
      <c r="E26" s="162"/>
      <c r="F26" s="36"/>
      <c r="G26" s="23">
        <f t="shared" si="0"/>
        <v>0</v>
      </c>
      <c r="H26" s="35"/>
    </row>
    <row r="27" spans="1:8" s="4" customFormat="1" ht="15">
      <c r="A27" s="193"/>
      <c r="B27" s="194"/>
      <c r="C27" s="195"/>
      <c r="D27" s="35"/>
      <c r="E27" s="162"/>
      <c r="F27" s="36"/>
      <c r="G27" s="23">
        <f t="shared" si="0"/>
        <v>0</v>
      </c>
      <c r="H27" s="35"/>
    </row>
    <row r="28" spans="1:8" s="2" customFormat="1" ht="17.25" customHeight="1">
      <c r="A28" s="61" t="s">
        <v>33</v>
      </c>
      <c r="B28" s="62"/>
      <c r="C28" s="170"/>
      <c r="D28" s="135"/>
      <c r="E28" s="171">
        <f>E11+E12+E13+E14+E15+E16+E17+E18+E19+E24+E20+E21+E22+E23</f>
        <v>136649.59999999998</v>
      </c>
      <c r="F28" s="171">
        <f>F11+F12+F13+F14+F15+F16+F17+F18+F19+F24+F20+F21+F22+F23</f>
        <v>1075</v>
      </c>
      <c r="G28" s="171">
        <f>G11+G12+G13+G14+G15+G16+G17+G18+G19+G24+G20+G21+G22+G23</f>
        <v>137724.59999999998</v>
      </c>
      <c r="H28" s="41"/>
    </row>
    <row r="29" s="2" customFormat="1" ht="8.25" customHeight="1">
      <c r="A29" s="53"/>
    </row>
    <row r="30" spans="1:8" s="2" customFormat="1" ht="15">
      <c r="A30" s="149" t="s">
        <v>32</v>
      </c>
      <c r="B30" s="149"/>
      <c r="C30" s="149"/>
      <c r="D30" s="149"/>
      <c r="E30" s="149"/>
      <c r="F30" s="149"/>
      <c r="G30" s="149"/>
      <c r="H30" s="149"/>
    </row>
    <row r="31" spans="1:8" s="2" customFormat="1" ht="36.75" customHeight="1">
      <c r="A31" s="17" t="s">
        <v>3</v>
      </c>
      <c r="B31" s="15" t="s">
        <v>40</v>
      </c>
      <c r="C31" s="15" t="s">
        <v>5</v>
      </c>
      <c r="D31" s="15" t="s">
        <v>6</v>
      </c>
      <c r="E31" s="16" t="s">
        <v>17</v>
      </c>
      <c r="F31" s="16" t="s">
        <v>39</v>
      </c>
      <c r="G31" s="15" t="s">
        <v>18</v>
      </c>
      <c r="H31" s="15" t="s">
        <v>7</v>
      </c>
    </row>
    <row r="32" spans="1:8" s="2" customFormat="1" ht="25.5" customHeight="1">
      <c r="A32" s="17" t="s">
        <v>34</v>
      </c>
      <c r="B32" s="18" t="s">
        <v>150</v>
      </c>
      <c r="C32" s="15" t="s">
        <v>16</v>
      </c>
      <c r="D32" s="19">
        <v>1</v>
      </c>
      <c r="E32" s="23">
        <v>38781.2</v>
      </c>
      <c r="F32" s="23">
        <v>8833</v>
      </c>
      <c r="G32" s="23">
        <f aca="true" t="shared" si="1" ref="G32:G38">E32+F32</f>
        <v>47614.2</v>
      </c>
      <c r="H32" s="19"/>
    </row>
    <row r="33" spans="1:8" s="2" customFormat="1" ht="26.25" customHeight="1">
      <c r="A33" s="17" t="s">
        <v>35</v>
      </c>
      <c r="B33" s="18" t="s">
        <v>151</v>
      </c>
      <c r="C33" s="15" t="s">
        <v>16</v>
      </c>
      <c r="D33" s="19">
        <v>1</v>
      </c>
      <c r="E33" s="23">
        <v>9363.75</v>
      </c>
      <c r="F33" s="23">
        <v>171</v>
      </c>
      <c r="G33" s="23">
        <f t="shared" si="1"/>
        <v>9534.75</v>
      </c>
      <c r="H33" s="19"/>
    </row>
    <row r="34" spans="1:8" s="2" customFormat="1" ht="15">
      <c r="A34" s="17" t="s">
        <v>36</v>
      </c>
      <c r="B34" s="156" t="s">
        <v>129</v>
      </c>
      <c r="C34" s="15"/>
      <c r="D34" s="19"/>
      <c r="E34" s="23"/>
      <c r="F34" s="23">
        <v>40</v>
      </c>
      <c r="G34" s="23">
        <f t="shared" si="1"/>
        <v>40</v>
      </c>
      <c r="H34" s="19"/>
    </row>
    <row r="35" spans="1:8" s="2" customFormat="1" ht="15">
      <c r="A35" s="17" t="s">
        <v>37</v>
      </c>
      <c r="B35" s="18" t="s">
        <v>51</v>
      </c>
      <c r="C35" s="15" t="s">
        <v>16</v>
      </c>
      <c r="D35" s="19">
        <v>1</v>
      </c>
      <c r="E35" s="23"/>
      <c r="F35" s="23"/>
      <c r="G35" s="23">
        <f t="shared" si="1"/>
        <v>0</v>
      </c>
      <c r="H35" s="19"/>
    </row>
    <row r="36" spans="1:8" s="2" customFormat="1" ht="15">
      <c r="A36" s="17" t="s">
        <v>137</v>
      </c>
      <c r="B36" s="18" t="s">
        <v>48</v>
      </c>
      <c r="C36" s="15" t="s">
        <v>9</v>
      </c>
      <c r="D36" s="19">
        <v>1</v>
      </c>
      <c r="E36" s="23">
        <f>E37+E38</f>
        <v>0</v>
      </c>
      <c r="F36" s="23">
        <f>F37+F38</f>
        <v>0</v>
      </c>
      <c r="G36" s="23">
        <f t="shared" si="1"/>
        <v>0</v>
      </c>
      <c r="H36" s="19"/>
    </row>
    <row r="37" spans="1:8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</row>
    <row r="38" spans="1:9" s="4" customFormat="1" ht="15">
      <c r="A38" s="55"/>
      <c r="B38" s="34"/>
      <c r="C38" s="161"/>
      <c r="D38" s="35"/>
      <c r="E38" s="36"/>
      <c r="F38" s="36"/>
      <c r="G38" s="36">
        <f t="shared" si="1"/>
        <v>0</v>
      </c>
      <c r="H38" s="35"/>
      <c r="I38" s="4" t="s">
        <v>95</v>
      </c>
    </row>
    <row r="39" spans="1:8" s="2" customFormat="1" ht="15">
      <c r="A39" s="231" t="s">
        <v>10</v>
      </c>
      <c r="B39" s="232"/>
      <c r="C39" s="203"/>
      <c r="D39" s="41"/>
      <c r="E39" s="171">
        <f>E32+E33+E34+E35+E36</f>
        <v>48144.95</v>
      </c>
      <c r="F39" s="171">
        <f>F32+F33+F34+F35+F36</f>
        <v>9044</v>
      </c>
      <c r="G39" s="171">
        <f>G32+G33+G34+G35+G36</f>
        <v>57188.95</v>
      </c>
      <c r="H39" s="41"/>
    </row>
    <row r="40" s="2" customFormat="1" ht="9.75" customHeight="1">
      <c r="A40" s="53"/>
    </row>
    <row r="41" spans="1:8" s="2" customFormat="1" ht="15">
      <c r="A41" s="220" t="s">
        <v>38</v>
      </c>
      <c r="B41" s="220"/>
      <c r="C41" s="220"/>
      <c r="D41" s="220"/>
      <c r="E41" s="220"/>
      <c r="F41" s="220"/>
      <c r="G41" s="220"/>
      <c r="H41" s="220"/>
    </row>
    <row r="42" spans="1:8" s="2" customFormat="1" ht="36" customHeight="1">
      <c r="A42" s="17" t="s">
        <v>3</v>
      </c>
      <c r="B42" s="15" t="s">
        <v>40</v>
      </c>
      <c r="C42" s="15" t="s">
        <v>5</v>
      </c>
      <c r="D42" s="15" t="s">
        <v>6</v>
      </c>
      <c r="E42" s="16" t="s">
        <v>17</v>
      </c>
      <c r="F42" s="16" t="s">
        <v>39</v>
      </c>
      <c r="G42" s="15" t="s">
        <v>18</v>
      </c>
      <c r="H42" s="15" t="s">
        <v>7</v>
      </c>
    </row>
    <row r="43" spans="1:8" s="2" customFormat="1" ht="26.25" customHeight="1">
      <c r="A43" s="17" t="s">
        <v>42</v>
      </c>
      <c r="B43" s="18" t="s">
        <v>153</v>
      </c>
      <c r="C43" s="15" t="s">
        <v>16</v>
      </c>
      <c r="D43" s="15">
        <v>1</v>
      </c>
      <c r="E43" s="25">
        <v>4789.06</v>
      </c>
      <c r="F43" s="25"/>
      <c r="G43" s="26">
        <f>E43+F43</f>
        <v>4789.06</v>
      </c>
      <c r="H43" s="19"/>
    </row>
    <row r="44" spans="1:8" s="2" customFormat="1" ht="15">
      <c r="A44" s="17"/>
      <c r="B44" s="156" t="s">
        <v>129</v>
      </c>
      <c r="C44" s="15"/>
      <c r="D44" s="15"/>
      <c r="E44" s="25"/>
      <c r="F44" s="25"/>
      <c r="G44" s="26">
        <f>E44+F44</f>
        <v>0</v>
      </c>
      <c r="H44" s="19"/>
    </row>
    <row r="45" spans="1:8" s="2" customFormat="1" ht="15">
      <c r="A45" s="17" t="s">
        <v>43</v>
      </c>
      <c r="B45" s="18" t="s">
        <v>48</v>
      </c>
      <c r="C45" s="15"/>
      <c r="D45" s="15"/>
      <c r="E45" s="25"/>
      <c r="F45" s="25"/>
      <c r="G45" s="26">
        <f>E45+F45</f>
        <v>0</v>
      </c>
      <c r="H45" s="19"/>
    </row>
    <row r="46" spans="1:11" s="2" customFormat="1" ht="15">
      <c r="A46" s="17"/>
      <c r="B46" s="18"/>
      <c r="C46" s="15"/>
      <c r="D46" s="19"/>
      <c r="E46" s="23"/>
      <c r="F46" s="26"/>
      <c r="G46" s="37">
        <f>E46+F46</f>
        <v>0</v>
      </c>
      <c r="H46" s="19"/>
      <c r="K46" s="12">
        <f>F28+F39+F48</f>
        <v>10119</v>
      </c>
    </row>
    <row r="47" spans="1:8" s="2" customFormat="1" ht="15">
      <c r="A47" s="17"/>
      <c r="B47" s="18"/>
      <c r="C47" s="19"/>
      <c r="D47" s="19"/>
      <c r="E47" s="23"/>
      <c r="F47" s="26"/>
      <c r="G47" s="37">
        <f>E47+F47</f>
        <v>0</v>
      </c>
      <c r="H47" s="19"/>
    </row>
    <row r="48" spans="1:8" s="2" customFormat="1" ht="15">
      <c r="A48" s="228" t="s">
        <v>41</v>
      </c>
      <c r="B48" s="229"/>
      <c r="C48" s="230"/>
      <c r="D48" s="41"/>
      <c r="E48" s="42">
        <f>SUM(E43:E47)</f>
        <v>4789.06</v>
      </c>
      <c r="F48" s="44">
        <f>SUM(F43:F45)</f>
        <v>0</v>
      </c>
      <c r="G48" s="42">
        <f>SUM(G43:G47)</f>
        <v>4789.06</v>
      </c>
      <c r="H48" s="41"/>
    </row>
    <row r="49" spans="1:8" s="2" customFormat="1" ht="7.5" customHeight="1">
      <c r="A49" s="54"/>
      <c r="B49" s="8"/>
      <c r="C49" s="8"/>
      <c r="D49" s="9"/>
      <c r="E49" s="9"/>
      <c r="F49" s="10"/>
      <c r="G49" s="9"/>
      <c r="H49" s="11"/>
    </row>
    <row r="50" spans="1:8" s="7" customFormat="1" ht="15" customHeight="1">
      <c r="A50" s="220" t="s">
        <v>154</v>
      </c>
      <c r="B50" s="220"/>
      <c r="C50" s="220"/>
      <c r="D50" s="220"/>
      <c r="E50" s="220"/>
      <c r="F50" s="220"/>
      <c r="G50" s="220"/>
      <c r="H50" s="58"/>
    </row>
    <row r="51" spans="1:7" s="2" customFormat="1" ht="24.75">
      <c r="A51" s="17" t="s">
        <v>3</v>
      </c>
      <c r="B51" s="15" t="s">
        <v>4</v>
      </c>
      <c r="C51" s="15" t="s">
        <v>5</v>
      </c>
      <c r="D51" s="15" t="s">
        <v>6</v>
      </c>
      <c r="E51" s="16" t="s">
        <v>45</v>
      </c>
      <c r="F51" s="221" t="s">
        <v>46</v>
      </c>
      <c r="G51" s="222"/>
    </row>
    <row r="52" spans="1:7" s="2" customFormat="1" ht="25.5" customHeight="1">
      <c r="A52" s="17" t="s">
        <v>65</v>
      </c>
      <c r="B52" s="27" t="s">
        <v>152</v>
      </c>
      <c r="C52" s="29" t="s">
        <v>16</v>
      </c>
      <c r="D52" s="28">
        <v>1</v>
      </c>
      <c r="E52" s="30">
        <v>28574.17</v>
      </c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16</v>
      </c>
      <c r="D53" s="28">
        <v>1</v>
      </c>
      <c r="E53" s="30">
        <v>5026.24</v>
      </c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16</v>
      </c>
      <c r="D54" s="28">
        <v>1</v>
      </c>
      <c r="E54" s="30">
        <v>2638.78</v>
      </c>
      <c r="F54" s="30"/>
      <c r="G54" s="30"/>
    </row>
    <row r="55" spans="1:7" s="2" customFormat="1" ht="15">
      <c r="A55" s="17" t="s">
        <v>68</v>
      </c>
      <c r="B55" s="28" t="s">
        <v>54</v>
      </c>
      <c r="C55" s="29" t="s">
        <v>16</v>
      </c>
      <c r="D55" s="28">
        <v>1</v>
      </c>
      <c r="E55" s="30">
        <v>4396.55</v>
      </c>
      <c r="F55" s="30"/>
      <c r="G55" s="30"/>
    </row>
    <row r="56" spans="1:7" s="2" customFormat="1" ht="15">
      <c r="A56" s="17" t="s">
        <v>70</v>
      </c>
      <c r="B56" s="18" t="s">
        <v>73</v>
      </c>
      <c r="C56" s="29" t="s">
        <v>16</v>
      </c>
      <c r="D56" s="28">
        <v>1</v>
      </c>
      <c r="E56" s="30">
        <f>E57+E58+E59+E60+E61+E62+E63+E64+E65</f>
        <v>8587.42</v>
      </c>
      <c r="F56" s="30"/>
      <c r="G56" s="30"/>
    </row>
    <row r="57" spans="1:7" s="4" customFormat="1" ht="15">
      <c r="A57" s="55"/>
      <c r="B57" s="34" t="s">
        <v>62</v>
      </c>
      <c r="C57" s="29" t="s">
        <v>16</v>
      </c>
      <c r="D57" s="28">
        <v>1</v>
      </c>
      <c r="E57" s="36">
        <v>3137.03</v>
      </c>
      <c r="F57" s="37"/>
      <c r="G57" s="36"/>
    </row>
    <row r="58" spans="1:11" s="4" customFormat="1" ht="15">
      <c r="A58" s="55"/>
      <c r="B58" s="34" t="s">
        <v>63</v>
      </c>
      <c r="C58" s="29" t="s">
        <v>16</v>
      </c>
      <c r="D58" s="28">
        <v>1</v>
      </c>
      <c r="E58" s="36">
        <v>248.39</v>
      </c>
      <c r="F58" s="37"/>
      <c r="G58" s="36"/>
      <c r="J58" s="38"/>
      <c r="K58" s="39"/>
    </row>
    <row r="59" spans="1:7" s="4" customFormat="1" ht="24.75">
      <c r="A59" s="55"/>
      <c r="B59" s="34" t="s">
        <v>64</v>
      </c>
      <c r="C59" s="29" t="s">
        <v>16</v>
      </c>
      <c r="D59" s="28">
        <v>1</v>
      </c>
      <c r="E59" s="36">
        <f>1789.77+709.47</f>
        <v>2499.24</v>
      </c>
      <c r="F59" s="37"/>
      <c r="G59" s="36"/>
    </row>
    <row r="60" spans="1:7" s="4" customFormat="1" ht="15">
      <c r="A60" s="55"/>
      <c r="B60" s="34" t="s">
        <v>69</v>
      </c>
      <c r="C60" s="29" t="s">
        <v>16</v>
      </c>
      <c r="D60" s="28">
        <v>1</v>
      </c>
      <c r="E60" s="35">
        <v>1788.79</v>
      </c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72</v>
      </c>
      <c r="C62" s="29" t="s">
        <v>16</v>
      </c>
      <c r="D62" s="28">
        <v>1</v>
      </c>
      <c r="E62" s="35">
        <v>854.79</v>
      </c>
      <c r="F62" s="40"/>
      <c r="G62" s="35"/>
    </row>
    <row r="63" spans="1:7" s="4" customFormat="1" ht="15">
      <c r="A63" s="55"/>
      <c r="B63" s="34" t="s">
        <v>75</v>
      </c>
      <c r="C63" s="29" t="s">
        <v>16</v>
      </c>
      <c r="D63" s="28">
        <v>1</v>
      </c>
      <c r="E63" s="35">
        <v>59.18</v>
      </c>
      <c r="F63" s="40"/>
      <c r="G63" s="35"/>
    </row>
    <row r="64" spans="1:7" s="4" customFormat="1" ht="15">
      <c r="A64" s="55"/>
      <c r="B64" s="34" t="s">
        <v>76</v>
      </c>
      <c r="C64" s="29" t="s">
        <v>16</v>
      </c>
      <c r="D64" s="28">
        <v>1</v>
      </c>
      <c r="E64" s="35"/>
      <c r="F64" s="40"/>
      <c r="G64" s="35"/>
    </row>
    <row r="65" spans="1:9" s="4" customFormat="1" ht="15">
      <c r="A65" s="55"/>
      <c r="B65" s="34"/>
      <c r="C65" s="35"/>
      <c r="D65" s="35"/>
      <c r="E65" s="35"/>
      <c r="F65" s="40"/>
      <c r="G65" s="35"/>
      <c r="I65" s="39"/>
    </row>
    <row r="66" spans="1:7" s="2" customFormat="1" ht="15">
      <c r="A66" s="180" t="s">
        <v>155</v>
      </c>
      <c r="B66" s="181"/>
      <c r="C66" s="182"/>
      <c r="D66" s="41"/>
      <c r="E66" s="42">
        <f>E52+E53+E54+E55+E56</f>
        <v>49223.159999999996</v>
      </c>
      <c r="F66" s="43"/>
      <c r="G66" s="41"/>
    </row>
    <row r="67" spans="1:7" s="52" customFormat="1" ht="25.5">
      <c r="A67" s="56" t="s">
        <v>156</v>
      </c>
      <c r="B67" s="47" t="s">
        <v>55</v>
      </c>
      <c r="C67" s="48" t="s">
        <v>16</v>
      </c>
      <c r="D67" s="49">
        <v>1</v>
      </c>
      <c r="E67" s="51">
        <v>6717.13</v>
      </c>
      <c r="F67" s="50"/>
      <c r="G67" s="51"/>
    </row>
    <row r="68" spans="1:7" s="46" customFormat="1" ht="15" customHeight="1">
      <c r="A68" s="223" t="s">
        <v>157</v>
      </c>
      <c r="B68" s="224"/>
      <c r="C68" s="224"/>
      <c r="D68" s="224"/>
      <c r="E68" s="224"/>
      <c r="F68" s="224"/>
      <c r="G68" s="225"/>
    </row>
    <row r="69" spans="1:7" s="2" customFormat="1" ht="33.75" customHeight="1">
      <c r="A69" s="17" t="s">
        <v>3</v>
      </c>
      <c r="B69" s="15" t="s">
        <v>4</v>
      </c>
      <c r="C69" s="15" t="s">
        <v>5</v>
      </c>
      <c r="D69" s="15" t="s">
        <v>6</v>
      </c>
      <c r="E69" s="16" t="s">
        <v>45</v>
      </c>
      <c r="F69" s="221" t="s">
        <v>46</v>
      </c>
      <c r="G69" s="222"/>
    </row>
    <row r="70" spans="1:7" s="2" customFormat="1" ht="25.5" customHeight="1">
      <c r="A70" s="17"/>
      <c r="B70" s="33" t="s">
        <v>56</v>
      </c>
      <c r="C70" s="29" t="s">
        <v>16</v>
      </c>
      <c r="D70" s="28">
        <v>1</v>
      </c>
      <c r="E70" s="30">
        <v>71947.04</v>
      </c>
      <c r="F70" s="30"/>
      <c r="G70" s="30"/>
    </row>
    <row r="71" spans="1:7" s="2" customFormat="1" ht="15">
      <c r="A71" s="17"/>
      <c r="B71" s="33" t="s">
        <v>57</v>
      </c>
      <c r="C71" s="29" t="s">
        <v>16</v>
      </c>
      <c r="D71" s="28">
        <v>1</v>
      </c>
      <c r="E71" s="30"/>
      <c r="F71" s="30"/>
      <c r="G71" s="30"/>
    </row>
    <row r="72" spans="1:9" s="2" customFormat="1" ht="15">
      <c r="A72" s="17"/>
      <c r="B72" s="33" t="s">
        <v>58</v>
      </c>
      <c r="C72" s="29" t="s">
        <v>16</v>
      </c>
      <c r="D72" s="28">
        <v>1</v>
      </c>
      <c r="E72" s="30">
        <v>24384.56</v>
      </c>
      <c r="F72" s="30"/>
      <c r="G72" s="30"/>
      <c r="I72" s="13"/>
    </row>
    <row r="73" spans="1:7" s="2" customFormat="1" ht="15">
      <c r="A73" s="17"/>
      <c r="B73" s="33" t="s">
        <v>59</v>
      </c>
      <c r="C73" s="29" t="s">
        <v>16</v>
      </c>
      <c r="D73" s="28">
        <v>1</v>
      </c>
      <c r="E73" s="30">
        <v>20689.64</v>
      </c>
      <c r="F73" s="30"/>
      <c r="G73" s="30"/>
    </row>
    <row r="74" spans="1:9" s="2" customFormat="1" ht="15">
      <c r="A74" s="17"/>
      <c r="B74" s="33" t="s">
        <v>60</v>
      </c>
      <c r="C74" s="29" t="s">
        <v>16</v>
      </c>
      <c r="D74" s="19">
        <v>1</v>
      </c>
      <c r="E74" s="30">
        <v>19026.93</v>
      </c>
      <c r="F74" s="26"/>
      <c r="G74" s="23"/>
      <c r="I74" s="13"/>
    </row>
    <row r="75" spans="1:7" s="2" customFormat="1" ht="15">
      <c r="A75" s="17"/>
      <c r="B75" s="18"/>
      <c r="C75" s="29"/>
      <c r="D75" s="28"/>
      <c r="E75" s="30"/>
      <c r="F75" s="30"/>
      <c r="G75" s="30"/>
    </row>
    <row r="76" spans="1:7" s="2" customFormat="1" ht="15">
      <c r="A76" s="216" t="s">
        <v>61</v>
      </c>
      <c r="B76" s="217"/>
      <c r="C76" s="218"/>
      <c r="D76" s="19"/>
      <c r="E76" s="30">
        <f>SUM(E70:E75)</f>
        <v>136048.16999999998</v>
      </c>
      <c r="F76" s="21"/>
      <c r="G76" s="19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pans="1:7" s="2" customFormat="1" ht="15">
      <c r="A80" s="54"/>
      <c r="B80" s="8"/>
      <c r="C80" s="8"/>
      <c r="D80" s="31"/>
      <c r="E80" s="45"/>
      <c r="F80" s="32"/>
      <c r="G80" s="31"/>
    </row>
    <row r="81" s="2" customFormat="1" ht="15">
      <c r="A81" s="53"/>
    </row>
    <row r="82" spans="1:7" s="2" customFormat="1" ht="15">
      <c r="A82" s="219" t="s">
        <v>11</v>
      </c>
      <c r="B82" s="219"/>
      <c r="C82" s="219"/>
      <c r="D82" s="219"/>
      <c r="E82" s="226">
        <f>G28+G39+G48+E66+E67+E76</f>
        <v>391691.06999999995</v>
      </c>
      <c r="F82" s="226"/>
      <c r="G82" s="226"/>
    </row>
    <row r="83" spans="1:7" s="2" customFormat="1" ht="15">
      <c r="A83" s="53"/>
      <c r="G83" s="13"/>
    </row>
    <row r="84" s="2" customFormat="1" ht="15">
      <c r="A84" s="53"/>
    </row>
    <row r="85" s="2" customFormat="1" ht="15">
      <c r="A85" s="53"/>
    </row>
    <row r="86" s="2" customFormat="1" ht="15">
      <c r="A86" s="53"/>
    </row>
    <row r="87" spans="1:5" s="2" customFormat="1" ht="15">
      <c r="A87" s="227" t="s">
        <v>47</v>
      </c>
      <c r="B87" s="227"/>
      <c r="E87" s="2" t="s">
        <v>12</v>
      </c>
    </row>
    <row r="88" spans="1:5" s="2" customFormat="1" ht="15">
      <c r="A88" s="227" t="s">
        <v>1</v>
      </c>
      <c r="B88" s="227"/>
      <c r="E88" s="2" t="s">
        <v>210</v>
      </c>
    </row>
    <row r="89" spans="1:5" s="2" customFormat="1" ht="30" customHeight="1">
      <c r="A89" s="215" t="s">
        <v>71</v>
      </c>
      <c r="B89" s="215"/>
      <c r="C89" s="22"/>
      <c r="E89" s="2" t="s">
        <v>211</v>
      </c>
    </row>
    <row r="90" s="2" customFormat="1" ht="15">
      <c r="A90" s="53"/>
    </row>
    <row r="91" s="2" customFormat="1" ht="15">
      <c r="A91" s="53"/>
    </row>
    <row r="92" s="2" customFormat="1" ht="15">
      <c r="A92" s="53"/>
    </row>
    <row r="93" s="2" customFormat="1" ht="15">
      <c r="A93" s="53"/>
    </row>
  </sheetData>
  <sheetProtection/>
  <mergeCells count="17">
    <mergeCell ref="A88:B88"/>
    <mergeCell ref="A89:B89"/>
    <mergeCell ref="A82:D82"/>
    <mergeCell ref="A1:B1"/>
    <mergeCell ref="A3:E3"/>
    <mergeCell ref="A5:H5"/>
    <mergeCell ref="A6:H6"/>
    <mergeCell ref="E82:G82"/>
    <mergeCell ref="A87:B87"/>
    <mergeCell ref="F51:G51"/>
    <mergeCell ref="A68:G68"/>
    <mergeCell ref="F69:G69"/>
    <mergeCell ref="A76:C76"/>
    <mergeCell ref="A39:C39"/>
    <mergeCell ref="A41:H41"/>
    <mergeCell ref="A48:C48"/>
    <mergeCell ref="A50:G50"/>
  </mergeCells>
  <printOptions/>
  <pageMargins left="0.29" right="0.33" top="0.33" bottom="0.76" header="0.32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34">
      <selection activeCell="E49" sqref="E49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4" t="s">
        <v>0</v>
      </c>
      <c r="B1" s="204"/>
      <c r="C1" s="1" t="s">
        <v>209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4" t="s">
        <v>8</v>
      </c>
      <c r="B3" s="204"/>
      <c r="C3" s="204"/>
      <c r="D3" s="204"/>
      <c r="E3" s="204"/>
      <c r="F3" s="3" t="s">
        <v>162</v>
      </c>
      <c r="G3" s="1"/>
    </row>
    <row r="4" s="2" customFormat="1" ht="15">
      <c r="A4" s="53"/>
    </row>
    <row r="5" spans="1:8" s="2" customFormat="1" ht="18.75">
      <c r="A5" s="205" t="s">
        <v>178</v>
      </c>
      <c r="B5" s="205"/>
      <c r="C5" s="205"/>
      <c r="D5" s="205"/>
      <c r="E5" s="205"/>
      <c r="F5" s="205"/>
      <c r="G5" s="205"/>
      <c r="H5" s="205"/>
    </row>
    <row r="6" spans="1:8" s="2" customFormat="1" ht="15">
      <c r="A6" s="215" t="s">
        <v>149</v>
      </c>
      <c r="B6" s="215"/>
      <c r="C6" s="215"/>
      <c r="D6" s="215"/>
      <c r="E6" s="215"/>
      <c r="F6" s="215"/>
      <c r="G6" s="215"/>
      <c r="H6" s="215"/>
    </row>
    <row r="7" spans="1:6" s="2" customFormat="1" ht="15">
      <c r="A7" s="53"/>
      <c r="B7" s="4" t="s">
        <v>2</v>
      </c>
      <c r="C7" s="4"/>
      <c r="D7" s="5" t="s">
        <v>179</v>
      </c>
      <c r="E7" s="4"/>
      <c r="F7" s="4"/>
    </row>
    <row r="8" s="2" customFormat="1" ht="7.5" customHeight="1">
      <c r="A8" s="53"/>
    </row>
    <row r="9" spans="1:9" s="2" customFormat="1" ht="15">
      <c r="A9" s="149" t="s">
        <v>23</v>
      </c>
      <c r="B9" s="149"/>
      <c r="C9" s="149"/>
      <c r="D9" s="149"/>
      <c r="E9" s="149"/>
      <c r="F9" s="149"/>
      <c r="G9" s="149"/>
      <c r="H9" s="7">
        <v>12565.6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39633.89</v>
      </c>
      <c r="F11" s="23"/>
      <c r="G11" s="23">
        <f aca="true" t="shared" si="0" ref="G11:G23">E11+F11</f>
        <v>39633.89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9817.09</v>
      </c>
      <c r="F12" s="23">
        <v>423</v>
      </c>
      <c r="G12" s="23">
        <f t="shared" si="0"/>
        <v>10240.09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6" t="s">
        <v>129</v>
      </c>
      <c r="C14" s="159"/>
      <c r="D14" s="159"/>
      <c r="E14" s="159"/>
      <c r="F14" s="159">
        <v>246</v>
      </c>
      <c r="G14" s="23">
        <f t="shared" si="0"/>
        <v>246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46428.48</v>
      </c>
      <c r="F15" s="23"/>
      <c r="G15" s="23">
        <f t="shared" si="0"/>
        <v>46428.48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26654.9</v>
      </c>
      <c r="F16" s="23"/>
      <c r="G16" s="23">
        <f t="shared" si="0"/>
        <v>26654.9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931.8</v>
      </c>
      <c r="F17" s="23"/>
      <c r="G17" s="23">
        <f t="shared" si="0"/>
        <v>931.8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>
        <f>1296.39+3059.65</f>
        <v>4356.04</v>
      </c>
      <c r="F18" s="23"/>
      <c r="G18" s="23">
        <f t="shared" si="0"/>
        <v>4356.04</v>
      </c>
      <c r="H18" s="19"/>
    </row>
    <row r="19" spans="1:8" s="2" customFormat="1" ht="15">
      <c r="A19" s="17" t="s">
        <v>134</v>
      </c>
      <c r="B19" s="18" t="s">
        <v>50</v>
      </c>
      <c r="C19" s="15" t="s">
        <v>16</v>
      </c>
      <c r="D19" s="19">
        <v>1</v>
      </c>
      <c r="E19" s="23">
        <v>5950</v>
      </c>
      <c r="F19" s="23"/>
      <c r="G19" s="23">
        <f t="shared" si="0"/>
        <v>5950</v>
      </c>
      <c r="H19" s="19"/>
    </row>
    <row r="20" spans="1:8" s="2" customFormat="1" ht="15">
      <c r="A20" s="17" t="s">
        <v>135</v>
      </c>
      <c r="B20" s="33" t="s">
        <v>103</v>
      </c>
      <c r="C20" s="15" t="s">
        <v>16</v>
      </c>
      <c r="D20" s="19">
        <v>1</v>
      </c>
      <c r="E20" s="23">
        <v>3771.72</v>
      </c>
      <c r="F20" s="23"/>
      <c r="G20" s="23">
        <f t="shared" si="0"/>
        <v>3771.72</v>
      </c>
      <c r="H20" s="19"/>
    </row>
    <row r="21" spans="1:8" s="2" customFormat="1" ht="15">
      <c r="A21" s="17" t="s">
        <v>186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187</v>
      </c>
      <c r="B22" s="33" t="s">
        <v>107</v>
      </c>
      <c r="C22" s="15" t="s">
        <v>16</v>
      </c>
      <c r="D22" s="19">
        <v>1</v>
      </c>
      <c r="E22" s="23">
        <v>7128.39</v>
      </c>
      <c r="F22" s="23"/>
      <c r="G22" s="23">
        <f t="shared" si="0"/>
        <v>7128.39</v>
      </c>
      <c r="H22" s="19"/>
    </row>
    <row r="23" spans="1:8" s="2" customFormat="1" ht="15">
      <c r="A23" s="17" t="s">
        <v>188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10" s="2" customFormat="1" ht="15">
      <c r="A24" s="17" t="s">
        <v>189</v>
      </c>
      <c r="B24" s="18" t="s">
        <v>48</v>
      </c>
      <c r="C24" s="15"/>
      <c r="D24" s="19"/>
      <c r="E24" s="23">
        <f>E25+E26+E27</f>
        <v>0</v>
      </c>
      <c r="F24" s="23">
        <f>F25+F26</f>
        <v>0</v>
      </c>
      <c r="G24" s="23">
        <f>G25+G26+G27</f>
        <v>0</v>
      </c>
      <c r="H24" s="19"/>
      <c r="J24" s="2" t="s">
        <v>95</v>
      </c>
    </row>
    <row r="25" spans="1:8" s="4" customFormat="1" ht="15">
      <c r="A25" s="55"/>
      <c r="B25" s="34"/>
      <c r="C25" s="161"/>
      <c r="D25" s="35"/>
      <c r="E25" s="36"/>
      <c r="F25" s="36"/>
      <c r="G25" s="36"/>
      <c r="H25" s="35"/>
    </row>
    <row r="26" spans="1:8" s="4" customFormat="1" ht="15">
      <c r="A26" s="55"/>
      <c r="B26" s="34"/>
      <c r="C26" s="161"/>
      <c r="D26" s="35"/>
      <c r="E26" s="162"/>
      <c r="F26" s="36"/>
      <c r="G26" s="36"/>
      <c r="H26" s="35"/>
    </row>
    <row r="27" spans="1:8" s="4" customFormat="1" ht="15">
      <c r="A27" s="193"/>
      <c r="B27" s="194"/>
      <c r="C27" s="195"/>
      <c r="D27" s="35"/>
      <c r="E27" s="162"/>
      <c r="F27" s="36"/>
      <c r="G27" s="36"/>
      <c r="H27" s="35"/>
    </row>
    <row r="28" spans="1:8" s="2" customFormat="1" ht="17.25" customHeight="1">
      <c r="A28" s="61" t="s">
        <v>33</v>
      </c>
      <c r="B28" s="62"/>
      <c r="C28" s="170"/>
      <c r="D28" s="135"/>
      <c r="E28" s="171">
        <f>E11+E12+E13+E14+E15+E16+E17+E18+E19+E24+E20+E21+E22+E23</f>
        <v>144672.31</v>
      </c>
      <c r="F28" s="171">
        <f>F11+F12+F13+F14+F15+F16+F17+F18+F19+F24+F20+F21+F22+F23</f>
        <v>669</v>
      </c>
      <c r="G28" s="171">
        <f>G11+G12+G13+G14+G15+G16+G17+G18+G19+G24+G20+G21+G22+G23</f>
        <v>145341.31</v>
      </c>
      <c r="H28" s="41"/>
    </row>
    <row r="29" s="2" customFormat="1" ht="8.25" customHeight="1">
      <c r="A29" s="53"/>
    </row>
    <row r="30" spans="1:8" s="2" customFormat="1" ht="15">
      <c r="A30" s="149" t="s">
        <v>32</v>
      </c>
      <c r="B30" s="149"/>
      <c r="C30" s="149"/>
      <c r="D30" s="149"/>
      <c r="E30" s="149"/>
      <c r="F30" s="149"/>
      <c r="G30" s="149"/>
      <c r="H30" s="149"/>
    </row>
    <row r="31" spans="1:8" s="2" customFormat="1" ht="36.75" customHeight="1">
      <c r="A31" s="17" t="s">
        <v>3</v>
      </c>
      <c r="B31" s="15" t="s">
        <v>40</v>
      </c>
      <c r="C31" s="15" t="s">
        <v>5</v>
      </c>
      <c r="D31" s="15" t="s">
        <v>6</v>
      </c>
      <c r="E31" s="16" t="s">
        <v>17</v>
      </c>
      <c r="F31" s="16" t="s">
        <v>39</v>
      </c>
      <c r="G31" s="15" t="s">
        <v>18</v>
      </c>
      <c r="H31" s="15" t="s">
        <v>7</v>
      </c>
    </row>
    <row r="32" spans="1:8" s="2" customFormat="1" ht="25.5" customHeight="1">
      <c r="A32" s="17" t="s">
        <v>34</v>
      </c>
      <c r="B32" s="18" t="s">
        <v>150</v>
      </c>
      <c r="C32" s="15" t="s">
        <v>16</v>
      </c>
      <c r="D32" s="19">
        <v>1</v>
      </c>
      <c r="E32" s="23">
        <v>38385.4</v>
      </c>
      <c r="F32" s="23">
        <v>1785</v>
      </c>
      <c r="G32" s="23">
        <f aca="true" t="shared" si="1" ref="G32:G38">E32+F32</f>
        <v>40170.4</v>
      </c>
      <c r="H32" s="19"/>
    </row>
    <row r="33" spans="1:8" s="2" customFormat="1" ht="26.25" customHeight="1">
      <c r="A33" s="17" t="s">
        <v>35</v>
      </c>
      <c r="B33" s="18" t="s">
        <v>151</v>
      </c>
      <c r="C33" s="15" t="s">
        <v>16</v>
      </c>
      <c r="D33" s="19">
        <v>1</v>
      </c>
      <c r="E33" s="23">
        <v>8516.95</v>
      </c>
      <c r="F33" s="23">
        <v>229</v>
      </c>
      <c r="G33" s="23">
        <f t="shared" si="1"/>
        <v>8745.95</v>
      </c>
      <c r="H33" s="19"/>
    </row>
    <row r="34" spans="1:8" s="2" customFormat="1" ht="15">
      <c r="A34" s="17" t="s">
        <v>36</v>
      </c>
      <c r="B34" s="156" t="s">
        <v>129</v>
      </c>
      <c r="C34" s="15"/>
      <c r="D34" s="19"/>
      <c r="E34" s="23"/>
      <c r="F34" s="23">
        <v>2538</v>
      </c>
      <c r="G34" s="23">
        <f t="shared" si="1"/>
        <v>2538</v>
      </c>
      <c r="H34" s="19"/>
    </row>
    <row r="35" spans="1:8" s="2" customFormat="1" ht="15">
      <c r="A35" s="17" t="s">
        <v>37</v>
      </c>
      <c r="B35" s="18" t="s">
        <v>51</v>
      </c>
      <c r="C35" s="15" t="s">
        <v>16</v>
      </c>
      <c r="D35" s="19">
        <v>1</v>
      </c>
      <c r="E35" s="23">
        <v>4384.94</v>
      </c>
      <c r="F35" s="23"/>
      <c r="G35" s="23">
        <f t="shared" si="1"/>
        <v>4384.94</v>
      </c>
      <c r="H35" s="19"/>
    </row>
    <row r="36" spans="1:8" s="2" customFormat="1" ht="15">
      <c r="A36" s="17" t="s">
        <v>137</v>
      </c>
      <c r="B36" s="18" t="s">
        <v>48</v>
      </c>
      <c r="C36" s="15" t="s">
        <v>9</v>
      </c>
      <c r="D36" s="19">
        <v>1</v>
      </c>
      <c r="E36" s="23">
        <f>E37+E38</f>
        <v>0</v>
      </c>
      <c r="F36" s="23">
        <f>F37+F38</f>
        <v>0</v>
      </c>
      <c r="G36" s="23">
        <f t="shared" si="1"/>
        <v>0</v>
      </c>
      <c r="H36" s="19"/>
    </row>
    <row r="37" spans="1:8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</row>
    <row r="38" spans="1:9" s="4" customFormat="1" ht="15">
      <c r="A38" s="55"/>
      <c r="B38" s="34"/>
      <c r="C38" s="161"/>
      <c r="D38" s="35"/>
      <c r="E38" s="36"/>
      <c r="F38" s="36"/>
      <c r="G38" s="36">
        <f t="shared" si="1"/>
        <v>0</v>
      </c>
      <c r="H38" s="35"/>
      <c r="I38" s="4" t="s">
        <v>95</v>
      </c>
    </row>
    <row r="39" spans="1:8" s="2" customFormat="1" ht="15">
      <c r="A39" s="231" t="s">
        <v>10</v>
      </c>
      <c r="B39" s="232"/>
      <c r="C39" s="203"/>
      <c r="D39" s="41"/>
      <c r="E39" s="171">
        <f>E32+E33+E34+E35+E36</f>
        <v>51287.29000000001</v>
      </c>
      <c r="F39" s="171">
        <f>F32+F33+F34+F35+F36</f>
        <v>4552</v>
      </c>
      <c r="G39" s="171">
        <f>G32+G33+G34+G35+G36</f>
        <v>55839.29000000001</v>
      </c>
      <c r="H39" s="41"/>
    </row>
    <row r="40" s="2" customFormat="1" ht="9.75" customHeight="1">
      <c r="A40" s="53"/>
    </row>
    <row r="41" spans="1:8" s="2" customFormat="1" ht="15">
      <c r="A41" s="220" t="s">
        <v>38</v>
      </c>
      <c r="B41" s="220"/>
      <c r="C41" s="220"/>
      <c r="D41" s="220"/>
      <c r="E41" s="220"/>
      <c r="F41" s="220"/>
      <c r="G41" s="220"/>
      <c r="H41" s="220"/>
    </row>
    <row r="42" spans="1:8" s="2" customFormat="1" ht="36" customHeight="1">
      <c r="A42" s="17" t="s">
        <v>3</v>
      </c>
      <c r="B42" s="15" t="s">
        <v>40</v>
      </c>
      <c r="C42" s="15" t="s">
        <v>5</v>
      </c>
      <c r="D42" s="15" t="s">
        <v>6</v>
      </c>
      <c r="E42" s="16" t="s">
        <v>17</v>
      </c>
      <c r="F42" s="16" t="s">
        <v>39</v>
      </c>
      <c r="G42" s="15" t="s">
        <v>18</v>
      </c>
      <c r="H42" s="15" t="s">
        <v>7</v>
      </c>
    </row>
    <row r="43" spans="1:8" s="2" customFormat="1" ht="26.25" customHeight="1">
      <c r="A43" s="17" t="s">
        <v>42</v>
      </c>
      <c r="B43" s="18" t="s">
        <v>153</v>
      </c>
      <c r="C43" s="15" t="s">
        <v>16</v>
      </c>
      <c r="D43" s="15">
        <v>1</v>
      </c>
      <c r="E43" s="25">
        <v>3848.86</v>
      </c>
      <c r="F43" s="25">
        <v>185</v>
      </c>
      <c r="G43" s="26">
        <f aca="true" t="shared" si="2" ref="G43:G48">E43+F43</f>
        <v>4033.86</v>
      </c>
      <c r="H43" s="19"/>
    </row>
    <row r="44" spans="1:8" s="2" customFormat="1" ht="15">
      <c r="A44" s="17"/>
      <c r="B44" s="156" t="s">
        <v>129</v>
      </c>
      <c r="C44" s="15"/>
      <c r="D44" s="15"/>
      <c r="E44" s="25"/>
      <c r="F44" s="25"/>
      <c r="G44" s="26">
        <f t="shared" si="2"/>
        <v>0</v>
      </c>
      <c r="H44" s="19"/>
    </row>
    <row r="45" spans="1:8" s="2" customFormat="1" ht="15">
      <c r="A45" s="17" t="s">
        <v>43</v>
      </c>
      <c r="B45" s="18" t="s">
        <v>48</v>
      </c>
      <c r="C45" s="15"/>
      <c r="D45" s="15"/>
      <c r="E45" s="25"/>
      <c r="F45" s="25"/>
      <c r="G45" s="26">
        <f t="shared" si="2"/>
        <v>0</v>
      </c>
      <c r="H45" s="19"/>
    </row>
    <row r="46" spans="1:11" s="2" customFormat="1" ht="15">
      <c r="A46" s="17"/>
      <c r="B46" s="18" t="s">
        <v>213</v>
      </c>
      <c r="C46" s="15"/>
      <c r="D46" s="19"/>
      <c r="E46" s="23">
        <v>3000</v>
      </c>
      <c r="F46" s="26"/>
      <c r="G46" s="37">
        <f t="shared" si="2"/>
        <v>3000</v>
      </c>
      <c r="H46" s="19"/>
      <c r="K46" s="12">
        <f>F28+F39+F49</f>
        <v>5406</v>
      </c>
    </row>
    <row r="47" spans="1:8" s="2" customFormat="1" ht="15">
      <c r="A47" s="17"/>
      <c r="B47" s="18" t="s">
        <v>214</v>
      </c>
      <c r="C47" s="19"/>
      <c r="D47" s="19"/>
      <c r="E47" s="23">
        <v>21000</v>
      </c>
      <c r="F47" s="26"/>
      <c r="G47" s="37">
        <f t="shared" si="2"/>
        <v>21000</v>
      </c>
      <c r="H47" s="19"/>
    </row>
    <row r="48" spans="1:8" s="2" customFormat="1" ht="15">
      <c r="A48" s="197"/>
      <c r="B48" s="198" t="s">
        <v>215</v>
      </c>
      <c r="C48" s="199"/>
      <c r="D48" s="19"/>
      <c r="E48" s="23">
        <v>2500</v>
      </c>
      <c r="F48" s="26"/>
      <c r="G48" s="37">
        <f t="shared" si="2"/>
        <v>2500</v>
      </c>
      <c r="H48" s="19"/>
    </row>
    <row r="49" spans="1:8" s="2" customFormat="1" ht="15">
      <c r="A49" s="228" t="s">
        <v>41</v>
      </c>
      <c r="B49" s="229"/>
      <c r="C49" s="230"/>
      <c r="D49" s="41"/>
      <c r="E49" s="42">
        <f>SUM(E43:E48)</f>
        <v>30348.86</v>
      </c>
      <c r="F49" s="44">
        <f>SUM(F43:F45)</f>
        <v>185</v>
      </c>
      <c r="G49" s="42">
        <f>SUM(G43:G48)</f>
        <v>30533.86</v>
      </c>
      <c r="H49" s="41"/>
    </row>
    <row r="50" spans="1:8" s="2" customFormat="1" ht="7.5" customHeight="1">
      <c r="A50" s="54"/>
      <c r="B50" s="8"/>
      <c r="C50" s="8"/>
      <c r="D50" s="9"/>
      <c r="E50" s="9"/>
      <c r="F50" s="10"/>
      <c r="G50" s="9"/>
      <c r="H50" s="11"/>
    </row>
    <row r="51" spans="1:8" s="7" customFormat="1" ht="15" customHeight="1">
      <c r="A51" s="220" t="s">
        <v>154</v>
      </c>
      <c r="B51" s="220"/>
      <c r="C51" s="220"/>
      <c r="D51" s="220"/>
      <c r="E51" s="220"/>
      <c r="F51" s="220"/>
      <c r="G51" s="220"/>
      <c r="H51" s="58"/>
    </row>
    <row r="52" spans="1:7" s="2" customFormat="1" ht="24.75">
      <c r="A52" s="17" t="s">
        <v>3</v>
      </c>
      <c r="B52" s="15" t="s">
        <v>4</v>
      </c>
      <c r="C52" s="15" t="s">
        <v>5</v>
      </c>
      <c r="D52" s="15" t="s">
        <v>6</v>
      </c>
      <c r="E52" s="16" t="s">
        <v>45</v>
      </c>
      <c r="F52" s="221" t="s">
        <v>46</v>
      </c>
      <c r="G52" s="222"/>
    </row>
    <row r="53" spans="1:7" s="2" customFormat="1" ht="25.5" customHeight="1">
      <c r="A53" s="17" t="s">
        <v>65</v>
      </c>
      <c r="B53" s="27" t="s">
        <v>152</v>
      </c>
      <c r="C53" s="29" t="s">
        <v>16</v>
      </c>
      <c r="D53" s="28">
        <v>1</v>
      </c>
      <c r="E53" s="30">
        <v>28574.17</v>
      </c>
      <c r="F53" s="30"/>
      <c r="G53" s="30"/>
    </row>
    <row r="54" spans="1:7" s="2" customFormat="1" ht="15">
      <c r="A54" s="17" t="s">
        <v>66</v>
      </c>
      <c r="B54" s="28" t="s">
        <v>52</v>
      </c>
      <c r="C54" s="29" t="s">
        <v>16</v>
      </c>
      <c r="D54" s="28">
        <v>1</v>
      </c>
      <c r="E54" s="30">
        <v>5026.24</v>
      </c>
      <c r="F54" s="30"/>
      <c r="G54" s="30"/>
    </row>
    <row r="55" spans="1:7" s="2" customFormat="1" ht="15">
      <c r="A55" s="17" t="s">
        <v>67</v>
      </c>
      <c r="B55" s="28" t="s">
        <v>53</v>
      </c>
      <c r="C55" s="29" t="s">
        <v>16</v>
      </c>
      <c r="D55" s="28">
        <v>1</v>
      </c>
      <c r="E55" s="30">
        <v>2638.78</v>
      </c>
      <c r="F55" s="30"/>
      <c r="G55" s="30"/>
    </row>
    <row r="56" spans="1:7" s="2" customFormat="1" ht="15">
      <c r="A56" s="17" t="s">
        <v>68</v>
      </c>
      <c r="B56" s="28" t="s">
        <v>54</v>
      </c>
      <c r="C56" s="29" t="s">
        <v>16</v>
      </c>
      <c r="D56" s="28">
        <v>1</v>
      </c>
      <c r="E56" s="30">
        <v>3916.37</v>
      </c>
      <c r="F56" s="30"/>
      <c r="G56" s="30"/>
    </row>
    <row r="57" spans="1:7" s="2" customFormat="1" ht="15">
      <c r="A57" s="17" t="s">
        <v>70</v>
      </c>
      <c r="B57" s="18" t="s">
        <v>73</v>
      </c>
      <c r="C57" s="29" t="s">
        <v>16</v>
      </c>
      <c r="D57" s="28">
        <v>1</v>
      </c>
      <c r="E57" s="30">
        <f>E58+E59+E60+E61+E62+E63+E64+E65+E66</f>
        <v>10045.6</v>
      </c>
      <c r="F57" s="30"/>
      <c r="G57" s="30"/>
    </row>
    <row r="58" spans="1:7" s="4" customFormat="1" ht="15">
      <c r="A58" s="55"/>
      <c r="B58" s="34" t="s">
        <v>62</v>
      </c>
      <c r="C58" s="29" t="s">
        <v>16</v>
      </c>
      <c r="D58" s="28">
        <v>1</v>
      </c>
      <c r="E58" s="36">
        <v>1653.31</v>
      </c>
      <c r="F58" s="37"/>
      <c r="G58" s="36"/>
    </row>
    <row r="59" spans="1:11" s="4" customFormat="1" ht="15">
      <c r="A59" s="55"/>
      <c r="B59" s="34" t="s">
        <v>63</v>
      </c>
      <c r="C59" s="29" t="s">
        <v>16</v>
      </c>
      <c r="D59" s="28">
        <v>1</v>
      </c>
      <c r="E59" s="36">
        <v>708.76</v>
      </c>
      <c r="F59" s="37"/>
      <c r="G59" s="36"/>
      <c r="J59" s="38"/>
      <c r="K59" s="39"/>
    </row>
    <row r="60" spans="1:7" s="4" customFormat="1" ht="24.75">
      <c r="A60" s="55"/>
      <c r="B60" s="34" t="s">
        <v>64</v>
      </c>
      <c r="C60" s="29" t="s">
        <v>16</v>
      </c>
      <c r="D60" s="28">
        <v>1</v>
      </c>
      <c r="E60" s="36">
        <v>2989.78</v>
      </c>
      <c r="F60" s="37"/>
      <c r="G60" s="36"/>
    </row>
    <row r="61" spans="1:7" s="4" customFormat="1" ht="15">
      <c r="A61" s="55"/>
      <c r="B61" s="34" t="s">
        <v>69</v>
      </c>
      <c r="C61" s="29" t="s">
        <v>16</v>
      </c>
      <c r="D61" s="28">
        <v>1</v>
      </c>
      <c r="E61" s="35">
        <v>1992.11</v>
      </c>
      <c r="F61" s="40"/>
      <c r="G61" s="35"/>
    </row>
    <row r="62" spans="1:7" s="4" customFormat="1" ht="15">
      <c r="A62" s="55"/>
      <c r="B62" s="34" t="s">
        <v>74</v>
      </c>
      <c r="C62" s="29" t="s">
        <v>16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72</v>
      </c>
      <c r="C63" s="29" t="s">
        <v>16</v>
      </c>
      <c r="D63" s="28">
        <v>1</v>
      </c>
      <c r="E63" s="35">
        <v>2576.39</v>
      </c>
      <c r="F63" s="40"/>
      <c r="G63" s="35"/>
    </row>
    <row r="64" spans="1:7" s="4" customFormat="1" ht="15">
      <c r="A64" s="55"/>
      <c r="B64" s="34" t="s">
        <v>75</v>
      </c>
      <c r="C64" s="29" t="s">
        <v>16</v>
      </c>
      <c r="D64" s="28">
        <v>1</v>
      </c>
      <c r="E64" s="35">
        <v>125.25</v>
      </c>
      <c r="F64" s="40"/>
      <c r="G64" s="35"/>
    </row>
    <row r="65" spans="1:7" s="4" customFormat="1" ht="15">
      <c r="A65" s="55"/>
      <c r="B65" s="34" t="s">
        <v>76</v>
      </c>
      <c r="C65" s="29" t="s">
        <v>16</v>
      </c>
      <c r="D65" s="28">
        <v>1</v>
      </c>
      <c r="E65" s="35"/>
      <c r="F65" s="40"/>
      <c r="G65" s="35"/>
    </row>
    <row r="66" spans="1:9" s="4" customFormat="1" ht="15">
      <c r="A66" s="55"/>
      <c r="B66" s="34"/>
      <c r="C66" s="35"/>
      <c r="D66" s="35"/>
      <c r="E66" s="35"/>
      <c r="F66" s="40"/>
      <c r="G66" s="35"/>
      <c r="I66" s="39"/>
    </row>
    <row r="67" spans="1:7" s="2" customFormat="1" ht="15">
      <c r="A67" s="180" t="s">
        <v>155</v>
      </c>
      <c r="B67" s="181"/>
      <c r="C67" s="182"/>
      <c r="D67" s="41"/>
      <c r="E67" s="42">
        <f>E53+E54+E55+E56+E57</f>
        <v>50201.159999999996</v>
      </c>
      <c r="F67" s="43"/>
      <c r="G67" s="41"/>
    </row>
    <row r="68" spans="1:7" s="52" customFormat="1" ht="25.5">
      <c r="A68" s="56" t="s">
        <v>156</v>
      </c>
      <c r="B68" s="47" t="s">
        <v>55</v>
      </c>
      <c r="C68" s="48" t="s">
        <v>16</v>
      </c>
      <c r="D68" s="49">
        <v>1</v>
      </c>
      <c r="E68" s="51">
        <v>5946.56</v>
      </c>
      <c r="F68" s="50"/>
      <c r="G68" s="51"/>
    </row>
    <row r="69" spans="1:7" s="46" customFormat="1" ht="15" customHeight="1">
      <c r="A69" s="223" t="s">
        <v>157</v>
      </c>
      <c r="B69" s="224"/>
      <c r="C69" s="224"/>
      <c r="D69" s="224"/>
      <c r="E69" s="224"/>
      <c r="F69" s="224"/>
      <c r="G69" s="225"/>
    </row>
    <row r="70" spans="1:7" s="2" customFormat="1" ht="33.75" customHeight="1">
      <c r="A70" s="17" t="s">
        <v>3</v>
      </c>
      <c r="B70" s="15" t="s">
        <v>4</v>
      </c>
      <c r="C70" s="15" t="s">
        <v>5</v>
      </c>
      <c r="D70" s="15" t="s">
        <v>6</v>
      </c>
      <c r="E70" s="16" t="s">
        <v>45</v>
      </c>
      <c r="F70" s="221" t="s">
        <v>46</v>
      </c>
      <c r="G70" s="222"/>
    </row>
    <row r="71" spans="1:7" s="2" customFormat="1" ht="25.5" customHeight="1">
      <c r="A71" s="17"/>
      <c r="B71" s="33" t="s">
        <v>56</v>
      </c>
      <c r="C71" s="29" t="s">
        <v>16</v>
      </c>
      <c r="D71" s="28">
        <v>1</v>
      </c>
      <c r="E71" s="30">
        <v>69756.66</v>
      </c>
      <c r="F71" s="30"/>
      <c r="G71" s="30"/>
    </row>
    <row r="72" spans="1:7" s="2" customFormat="1" ht="15">
      <c r="A72" s="17"/>
      <c r="B72" s="33" t="s">
        <v>57</v>
      </c>
      <c r="C72" s="29" t="s">
        <v>16</v>
      </c>
      <c r="D72" s="28">
        <v>1</v>
      </c>
      <c r="E72" s="30"/>
      <c r="F72" s="30"/>
      <c r="G72" s="30"/>
    </row>
    <row r="73" spans="1:9" s="2" customFormat="1" ht="15">
      <c r="A73" s="17"/>
      <c r="B73" s="33" t="s">
        <v>58</v>
      </c>
      <c r="C73" s="29" t="s">
        <v>16</v>
      </c>
      <c r="D73" s="28">
        <v>1</v>
      </c>
      <c r="E73" s="30">
        <v>31671.39</v>
      </c>
      <c r="F73" s="30"/>
      <c r="G73" s="30"/>
      <c r="I73" s="13">
        <f>E73+E72</f>
        <v>31671.39</v>
      </c>
    </row>
    <row r="74" spans="1:7" s="2" customFormat="1" ht="15">
      <c r="A74" s="17"/>
      <c r="B74" s="33" t="s">
        <v>59</v>
      </c>
      <c r="C74" s="29" t="s">
        <v>16</v>
      </c>
      <c r="D74" s="28">
        <v>1</v>
      </c>
      <c r="E74" s="30">
        <v>21756.71</v>
      </c>
      <c r="F74" s="30"/>
      <c r="G74" s="30"/>
    </row>
    <row r="75" spans="1:9" s="2" customFormat="1" ht="15">
      <c r="A75" s="17"/>
      <c r="B75" s="33" t="s">
        <v>60</v>
      </c>
      <c r="C75" s="29" t="s">
        <v>16</v>
      </c>
      <c r="D75" s="19">
        <v>1</v>
      </c>
      <c r="E75" s="30">
        <v>25091.63</v>
      </c>
      <c r="F75" s="26"/>
      <c r="G75" s="23"/>
      <c r="I75" s="13">
        <f>E74+E75</f>
        <v>46848.34</v>
      </c>
    </row>
    <row r="76" spans="1:7" s="2" customFormat="1" ht="15">
      <c r="A76" s="17"/>
      <c r="B76" s="18"/>
      <c r="C76" s="29"/>
      <c r="D76" s="28"/>
      <c r="E76" s="30"/>
      <c r="F76" s="30"/>
      <c r="G76" s="30"/>
    </row>
    <row r="77" spans="1:7" s="2" customFormat="1" ht="15">
      <c r="A77" s="216" t="s">
        <v>61</v>
      </c>
      <c r="B77" s="217"/>
      <c r="C77" s="218"/>
      <c r="D77" s="19"/>
      <c r="E77" s="30">
        <f>SUM(E71:E76)</f>
        <v>148276.39</v>
      </c>
      <c r="F77" s="21"/>
      <c r="G77" s="19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pans="1:7" s="2" customFormat="1" ht="15">
      <c r="A80" s="54"/>
      <c r="B80" s="8"/>
      <c r="C80" s="8"/>
      <c r="D80" s="31"/>
      <c r="E80" s="45"/>
      <c r="F80" s="32"/>
      <c r="G80" s="31"/>
    </row>
    <row r="81" spans="1:7" s="2" customFormat="1" ht="15">
      <c r="A81" s="54"/>
      <c r="B81" s="8"/>
      <c r="C81" s="8"/>
      <c r="D81" s="31"/>
      <c r="E81" s="45"/>
      <c r="F81" s="32"/>
      <c r="G81" s="31"/>
    </row>
    <row r="82" s="2" customFormat="1" ht="15">
      <c r="A82" s="53"/>
    </row>
    <row r="83" spans="1:7" s="2" customFormat="1" ht="15">
      <c r="A83" s="219" t="s">
        <v>11</v>
      </c>
      <c r="B83" s="219"/>
      <c r="C83" s="219"/>
      <c r="D83" s="219"/>
      <c r="E83" s="226">
        <f>G28+G39+G49+E67+E68+E77</f>
        <v>436138.57</v>
      </c>
      <c r="F83" s="226"/>
      <c r="G83" s="226"/>
    </row>
    <row r="84" spans="1:7" s="2" customFormat="1" ht="15">
      <c r="A84" s="53"/>
      <c r="G84" s="13"/>
    </row>
    <row r="85" s="2" customFormat="1" ht="15">
      <c r="A85" s="53"/>
    </row>
    <row r="86" s="2" customFormat="1" ht="15">
      <c r="A86" s="53"/>
    </row>
    <row r="87" s="2" customFormat="1" ht="15">
      <c r="A87" s="53"/>
    </row>
    <row r="88" spans="1:5" s="2" customFormat="1" ht="15">
      <c r="A88" s="227" t="s">
        <v>47</v>
      </c>
      <c r="B88" s="227"/>
      <c r="E88" s="2" t="s">
        <v>12</v>
      </c>
    </row>
    <row r="89" spans="1:5" s="2" customFormat="1" ht="15">
      <c r="A89" s="227" t="s">
        <v>1</v>
      </c>
      <c r="B89" s="227"/>
      <c r="E89" s="2" t="s">
        <v>210</v>
      </c>
    </row>
    <row r="90" spans="1:5" s="2" customFormat="1" ht="30" customHeight="1">
      <c r="A90" s="215" t="s">
        <v>71</v>
      </c>
      <c r="B90" s="215"/>
      <c r="C90" s="22"/>
      <c r="E90" s="2" t="s">
        <v>211</v>
      </c>
    </row>
    <row r="91" s="2" customFormat="1" ht="15">
      <c r="A91" s="53"/>
    </row>
    <row r="92" s="2" customFormat="1" ht="15">
      <c r="A92" s="53"/>
    </row>
    <row r="93" s="2" customFormat="1" ht="15">
      <c r="A93" s="53"/>
    </row>
    <row r="94" s="2" customFormat="1" ht="15">
      <c r="A94" s="53"/>
    </row>
  </sheetData>
  <sheetProtection/>
  <mergeCells count="17">
    <mergeCell ref="A89:B89"/>
    <mergeCell ref="A90:B90"/>
    <mergeCell ref="A83:D83"/>
    <mergeCell ref="A1:B1"/>
    <mergeCell ref="A3:E3"/>
    <mergeCell ref="A5:H5"/>
    <mergeCell ref="A6:H6"/>
    <mergeCell ref="E83:G83"/>
    <mergeCell ref="A88:B88"/>
    <mergeCell ref="F52:G52"/>
    <mergeCell ref="A69:G69"/>
    <mergeCell ref="F70:G70"/>
    <mergeCell ref="A77:C77"/>
    <mergeCell ref="A39:C39"/>
    <mergeCell ref="A41:H41"/>
    <mergeCell ref="A49:C49"/>
    <mergeCell ref="A51:G51"/>
  </mergeCells>
  <printOptions/>
  <pageMargins left="0.35" right="0.27" top="0.44" bottom="0.69" header="0.3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52">
      <selection activeCell="G48" sqref="G48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4" t="s">
        <v>0</v>
      </c>
      <c r="B1" s="204"/>
      <c r="C1" s="1" t="s">
        <v>209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4" t="s">
        <v>8</v>
      </c>
      <c r="B3" s="204"/>
      <c r="C3" s="204"/>
      <c r="D3" s="204"/>
      <c r="E3" s="204"/>
      <c r="F3" s="3" t="s">
        <v>162</v>
      </c>
      <c r="G3" s="1"/>
    </row>
    <row r="4" s="2" customFormat="1" ht="15">
      <c r="A4" s="53"/>
    </row>
    <row r="5" spans="1:8" s="2" customFormat="1" ht="18.75">
      <c r="A5" s="205" t="s">
        <v>180</v>
      </c>
      <c r="B5" s="205"/>
      <c r="C5" s="205"/>
      <c r="D5" s="205"/>
      <c r="E5" s="205"/>
      <c r="F5" s="205"/>
      <c r="G5" s="205"/>
      <c r="H5" s="205"/>
    </row>
    <row r="6" spans="1:8" s="2" customFormat="1" ht="15">
      <c r="A6" s="215" t="s">
        <v>149</v>
      </c>
      <c r="B6" s="215"/>
      <c r="C6" s="215"/>
      <c r="D6" s="215"/>
      <c r="E6" s="215"/>
      <c r="F6" s="215"/>
      <c r="G6" s="215"/>
      <c r="H6" s="215"/>
    </row>
    <row r="7" spans="1:6" s="2" customFormat="1" ht="15">
      <c r="A7" s="53"/>
      <c r="B7" s="4" t="s">
        <v>2</v>
      </c>
      <c r="C7" s="4"/>
      <c r="D7" s="5" t="s">
        <v>181</v>
      </c>
      <c r="E7" s="4"/>
      <c r="F7" s="4"/>
    </row>
    <row r="8" s="2" customFormat="1" ht="7.5" customHeight="1">
      <c r="A8" s="53"/>
    </row>
    <row r="9" spans="1:9" s="2" customFormat="1" ht="15">
      <c r="A9" s="149" t="s">
        <v>23</v>
      </c>
      <c r="B9" s="149"/>
      <c r="C9" s="149"/>
      <c r="D9" s="149"/>
      <c r="E9" s="149"/>
      <c r="F9" s="149"/>
      <c r="G9" s="149"/>
      <c r="H9" s="7">
        <v>12565.6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41468.72</v>
      </c>
      <c r="F11" s="23"/>
      <c r="G11" s="23">
        <f aca="true" t="shared" si="0" ref="G11:G23">E11+F11</f>
        <v>41468.72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9817.08</v>
      </c>
      <c r="F12" s="23">
        <v>398</v>
      </c>
      <c r="G12" s="23">
        <f t="shared" si="0"/>
        <v>10215.08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6" t="s">
        <v>129</v>
      </c>
      <c r="C14" s="159"/>
      <c r="D14" s="159"/>
      <c r="E14" s="159"/>
      <c r="F14" s="159">
        <v>248</v>
      </c>
      <c r="G14" s="23">
        <f t="shared" si="0"/>
        <v>248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46428.48</v>
      </c>
      <c r="F15" s="23"/>
      <c r="G15" s="23">
        <f t="shared" si="0"/>
        <v>46428.48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26654.9</v>
      </c>
      <c r="F16" s="23"/>
      <c r="G16" s="23">
        <f t="shared" si="0"/>
        <v>26654.9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931.8</v>
      </c>
      <c r="F17" s="23"/>
      <c r="G17" s="23">
        <f t="shared" si="0"/>
        <v>931.8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>
        <v>1212.29</v>
      </c>
      <c r="F18" s="23"/>
      <c r="G18" s="23">
        <f t="shared" si="0"/>
        <v>1212.29</v>
      </c>
      <c r="H18" s="19"/>
    </row>
    <row r="19" spans="1:8" s="2" customFormat="1" ht="15">
      <c r="A19" s="17" t="s">
        <v>134</v>
      </c>
      <c r="B19" s="18" t="s">
        <v>50</v>
      </c>
      <c r="C19" s="15" t="s">
        <v>16</v>
      </c>
      <c r="D19" s="19">
        <v>1</v>
      </c>
      <c r="E19" s="23">
        <v>5950</v>
      </c>
      <c r="F19" s="23"/>
      <c r="G19" s="23">
        <f t="shared" si="0"/>
        <v>5950</v>
      </c>
      <c r="H19" s="19"/>
    </row>
    <row r="20" spans="1:8" s="2" customFormat="1" ht="15">
      <c r="A20" s="17" t="s">
        <v>135</v>
      </c>
      <c r="B20" s="33" t="s">
        <v>103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186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187</v>
      </c>
      <c r="B22" s="33" t="s">
        <v>107</v>
      </c>
      <c r="C22" s="15" t="s">
        <v>16</v>
      </c>
      <c r="D22" s="19">
        <v>1</v>
      </c>
      <c r="E22" s="23">
        <v>1634.07</v>
      </c>
      <c r="F22" s="23"/>
      <c r="G22" s="23">
        <f t="shared" si="0"/>
        <v>1634.07</v>
      </c>
      <c r="H22" s="19"/>
    </row>
    <row r="23" spans="1:8" s="2" customFormat="1" ht="15">
      <c r="A23" s="17" t="s">
        <v>188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10" s="2" customFormat="1" ht="15">
      <c r="A24" s="17" t="s">
        <v>189</v>
      </c>
      <c r="B24" s="18" t="s">
        <v>48</v>
      </c>
      <c r="C24" s="15"/>
      <c r="D24" s="19"/>
      <c r="E24" s="23">
        <f>E25+E26+E27</f>
        <v>0</v>
      </c>
      <c r="F24" s="23">
        <f>F25+F26</f>
        <v>0</v>
      </c>
      <c r="G24" s="23">
        <f>G25+G26+G27</f>
        <v>0</v>
      </c>
      <c r="H24" s="19"/>
      <c r="J24" s="2" t="s">
        <v>95</v>
      </c>
    </row>
    <row r="25" spans="1:8" s="4" customFormat="1" ht="15">
      <c r="A25" s="55"/>
      <c r="B25" s="34"/>
      <c r="C25" s="161"/>
      <c r="D25" s="35"/>
      <c r="E25" s="36"/>
      <c r="F25" s="36"/>
      <c r="G25" s="36"/>
      <c r="H25" s="35"/>
    </row>
    <row r="26" spans="1:8" s="4" customFormat="1" ht="15">
      <c r="A26" s="55"/>
      <c r="B26" s="34"/>
      <c r="C26" s="161"/>
      <c r="D26" s="35"/>
      <c r="E26" s="162"/>
      <c r="F26" s="36"/>
      <c r="G26" s="36"/>
      <c r="H26" s="35"/>
    </row>
    <row r="27" spans="1:8" s="4" customFormat="1" ht="15">
      <c r="A27" s="193"/>
      <c r="B27" s="194"/>
      <c r="C27" s="195"/>
      <c r="D27" s="35"/>
      <c r="E27" s="162"/>
      <c r="F27" s="36"/>
      <c r="G27" s="36"/>
      <c r="H27" s="35"/>
    </row>
    <row r="28" spans="1:8" s="2" customFormat="1" ht="17.25" customHeight="1">
      <c r="A28" s="61" t="s">
        <v>33</v>
      </c>
      <c r="B28" s="62"/>
      <c r="C28" s="170"/>
      <c r="D28" s="135"/>
      <c r="E28" s="171">
        <f>E11+E12+E13+E14+E15+E16+E17+E18+E19+E24+E20+E21+E22+E23</f>
        <v>134097.34</v>
      </c>
      <c r="F28" s="171">
        <f>F11+F12+F13+F14+F15+F16+F17+F18+F19+F24+F20+F21+F22+F23</f>
        <v>646</v>
      </c>
      <c r="G28" s="171">
        <f>G11+G12+G13+G14+G15+G16+G17+G18+G19+G24+G20+G21+G22+G23</f>
        <v>134743.34</v>
      </c>
      <c r="H28" s="41"/>
    </row>
    <row r="29" s="2" customFormat="1" ht="8.25" customHeight="1">
      <c r="A29" s="53"/>
    </row>
    <row r="30" spans="1:8" s="2" customFormat="1" ht="15">
      <c r="A30" s="149" t="s">
        <v>32</v>
      </c>
      <c r="B30" s="149"/>
      <c r="C30" s="149"/>
      <c r="D30" s="149"/>
      <c r="E30" s="149"/>
      <c r="F30" s="149"/>
      <c r="G30" s="149"/>
      <c r="H30" s="149"/>
    </row>
    <row r="31" spans="1:8" s="2" customFormat="1" ht="36.75" customHeight="1">
      <c r="A31" s="17" t="s">
        <v>3</v>
      </c>
      <c r="B31" s="15" t="s">
        <v>40</v>
      </c>
      <c r="C31" s="15" t="s">
        <v>5</v>
      </c>
      <c r="D31" s="15" t="s">
        <v>6</v>
      </c>
      <c r="E31" s="16" t="s">
        <v>17</v>
      </c>
      <c r="F31" s="16" t="s">
        <v>39</v>
      </c>
      <c r="G31" s="15" t="s">
        <v>18</v>
      </c>
      <c r="H31" s="15" t="s">
        <v>7</v>
      </c>
    </row>
    <row r="32" spans="1:8" s="2" customFormat="1" ht="25.5" customHeight="1">
      <c r="A32" s="17" t="s">
        <v>34</v>
      </c>
      <c r="B32" s="18" t="s">
        <v>150</v>
      </c>
      <c r="C32" s="15" t="s">
        <v>16</v>
      </c>
      <c r="D32" s="19">
        <v>1</v>
      </c>
      <c r="E32" s="23">
        <v>38090.61</v>
      </c>
      <c r="F32" s="23">
        <v>2736</v>
      </c>
      <c r="G32" s="23">
        <f aca="true" t="shared" si="1" ref="G32:G38">E32+F32</f>
        <v>40826.61</v>
      </c>
      <c r="H32" s="19"/>
    </row>
    <row r="33" spans="1:8" s="2" customFormat="1" ht="26.25" customHeight="1">
      <c r="A33" s="17" t="s">
        <v>35</v>
      </c>
      <c r="B33" s="18" t="s">
        <v>151</v>
      </c>
      <c r="C33" s="15" t="s">
        <v>16</v>
      </c>
      <c r="D33" s="19">
        <v>1</v>
      </c>
      <c r="E33" s="23">
        <v>7389.8</v>
      </c>
      <c r="F33" s="23">
        <v>132</v>
      </c>
      <c r="G33" s="23">
        <f t="shared" si="1"/>
        <v>7521.8</v>
      </c>
      <c r="H33" s="19"/>
    </row>
    <row r="34" spans="1:8" s="2" customFormat="1" ht="15">
      <c r="A34" s="17" t="s">
        <v>36</v>
      </c>
      <c r="B34" s="156" t="s">
        <v>129</v>
      </c>
      <c r="C34" s="15"/>
      <c r="D34" s="19"/>
      <c r="E34" s="23"/>
      <c r="F34" s="23">
        <v>38</v>
      </c>
      <c r="G34" s="23">
        <f t="shared" si="1"/>
        <v>38</v>
      </c>
      <c r="H34" s="19"/>
    </row>
    <row r="35" spans="1:8" s="2" customFormat="1" ht="15">
      <c r="A35" s="17" t="s">
        <v>37</v>
      </c>
      <c r="B35" s="18" t="s">
        <v>51</v>
      </c>
      <c r="C35" s="15" t="s">
        <v>16</v>
      </c>
      <c r="D35" s="19">
        <v>1</v>
      </c>
      <c r="E35" s="23">
        <v>4384.95</v>
      </c>
      <c r="F35" s="23"/>
      <c r="G35" s="23">
        <f t="shared" si="1"/>
        <v>4384.95</v>
      </c>
      <c r="H35" s="19"/>
    </row>
    <row r="36" spans="1:8" s="2" customFormat="1" ht="15">
      <c r="A36" s="17" t="s">
        <v>137</v>
      </c>
      <c r="B36" s="18" t="s">
        <v>48</v>
      </c>
      <c r="C36" s="15" t="s">
        <v>9</v>
      </c>
      <c r="D36" s="19">
        <v>1</v>
      </c>
      <c r="E36" s="23">
        <f>E37+E38</f>
        <v>0</v>
      </c>
      <c r="F36" s="23">
        <f>F37+F38</f>
        <v>0</v>
      </c>
      <c r="G36" s="23">
        <f t="shared" si="1"/>
        <v>0</v>
      </c>
      <c r="H36" s="19"/>
    </row>
    <row r="37" spans="1:8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</row>
    <row r="38" spans="1:9" s="4" customFormat="1" ht="15">
      <c r="A38" s="55"/>
      <c r="B38" s="34"/>
      <c r="C38" s="161"/>
      <c r="D38" s="35"/>
      <c r="E38" s="36"/>
      <c r="F38" s="36"/>
      <c r="G38" s="36">
        <f t="shared" si="1"/>
        <v>0</v>
      </c>
      <c r="H38" s="35"/>
      <c r="I38" s="4" t="s">
        <v>95</v>
      </c>
    </row>
    <row r="39" spans="1:8" s="2" customFormat="1" ht="15">
      <c r="A39" s="231" t="s">
        <v>10</v>
      </c>
      <c r="B39" s="232"/>
      <c r="C39" s="203"/>
      <c r="D39" s="41"/>
      <c r="E39" s="171">
        <f>E32+E33+E34+E35+E36</f>
        <v>49865.36</v>
      </c>
      <c r="F39" s="171">
        <f>F32+F33+F34+F35+F36</f>
        <v>2906</v>
      </c>
      <c r="G39" s="171">
        <f>G32+G33+G34+G35+G36</f>
        <v>52771.36</v>
      </c>
      <c r="H39" s="41"/>
    </row>
    <row r="40" s="2" customFormat="1" ht="9.75" customHeight="1">
      <c r="A40" s="53"/>
    </row>
    <row r="41" spans="1:8" s="2" customFormat="1" ht="15">
      <c r="A41" s="220" t="s">
        <v>38</v>
      </c>
      <c r="B41" s="220"/>
      <c r="C41" s="220"/>
      <c r="D41" s="220"/>
      <c r="E41" s="220"/>
      <c r="F41" s="220"/>
      <c r="G41" s="220"/>
      <c r="H41" s="220"/>
    </row>
    <row r="42" spans="1:8" s="2" customFormat="1" ht="36" customHeight="1">
      <c r="A42" s="17" t="s">
        <v>3</v>
      </c>
      <c r="B42" s="15" t="s">
        <v>40</v>
      </c>
      <c r="C42" s="15" t="s">
        <v>5</v>
      </c>
      <c r="D42" s="15" t="s">
        <v>6</v>
      </c>
      <c r="E42" s="16" t="s">
        <v>17</v>
      </c>
      <c r="F42" s="16" t="s">
        <v>39</v>
      </c>
      <c r="G42" s="15" t="s">
        <v>18</v>
      </c>
      <c r="H42" s="15" t="s">
        <v>7</v>
      </c>
    </row>
    <row r="43" spans="1:8" s="2" customFormat="1" ht="26.25" customHeight="1">
      <c r="A43" s="17" t="s">
        <v>42</v>
      </c>
      <c r="B43" s="18" t="s">
        <v>153</v>
      </c>
      <c r="C43" s="15" t="s">
        <v>16</v>
      </c>
      <c r="D43" s="15">
        <v>1</v>
      </c>
      <c r="E43" s="25">
        <v>4524.51</v>
      </c>
      <c r="F43" s="25"/>
      <c r="G43" s="26">
        <f>E43+F43</f>
        <v>4524.51</v>
      </c>
      <c r="H43" s="19"/>
    </row>
    <row r="44" spans="1:8" s="2" customFormat="1" ht="15">
      <c r="A44" s="17"/>
      <c r="B44" s="156" t="s">
        <v>129</v>
      </c>
      <c r="C44" s="15"/>
      <c r="D44" s="15"/>
      <c r="E44" s="25"/>
      <c r="F44" s="25"/>
      <c r="G44" s="26">
        <f>E44+F44</f>
        <v>0</v>
      </c>
      <c r="H44" s="19"/>
    </row>
    <row r="45" spans="1:8" s="2" customFormat="1" ht="15">
      <c r="A45" s="17" t="s">
        <v>43</v>
      </c>
      <c r="B45" s="18" t="s">
        <v>48</v>
      </c>
      <c r="C45" s="15"/>
      <c r="D45" s="15"/>
      <c r="E45" s="25"/>
      <c r="F45" s="25"/>
      <c r="G45" s="26">
        <f>E45+F45</f>
        <v>0</v>
      </c>
      <c r="H45" s="19"/>
    </row>
    <row r="46" spans="1:11" s="2" customFormat="1" ht="15">
      <c r="A46" s="17"/>
      <c r="B46" s="18"/>
      <c r="C46" s="15"/>
      <c r="D46" s="19"/>
      <c r="E46" s="23"/>
      <c r="F46" s="26"/>
      <c r="G46" s="37">
        <f>E46+F46</f>
        <v>0</v>
      </c>
      <c r="H46" s="19"/>
      <c r="K46" s="12">
        <f>F28+F39+F48</f>
        <v>3552</v>
      </c>
    </row>
    <row r="47" spans="1:8" s="2" customFormat="1" ht="15">
      <c r="A47" s="17"/>
      <c r="B47" s="18"/>
      <c r="C47" s="19"/>
      <c r="D47" s="19"/>
      <c r="E47" s="23"/>
      <c r="F47" s="26"/>
      <c r="G47" s="37">
        <f>E47+F47</f>
        <v>0</v>
      </c>
      <c r="H47" s="19"/>
    </row>
    <row r="48" spans="1:8" s="2" customFormat="1" ht="15">
      <c r="A48" s="228" t="s">
        <v>41</v>
      </c>
      <c r="B48" s="229"/>
      <c r="C48" s="230"/>
      <c r="D48" s="41"/>
      <c r="E48" s="42">
        <f>SUM(E43:E47)</f>
        <v>4524.51</v>
      </c>
      <c r="F48" s="44">
        <f>SUM(F43:F45)</f>
        <v>0</v>
      </c>
      <c r="G48" s="42">
        <f>SUM(G43:G47)</f>
        <v>4524.51</v>
      </c>
      <c r="H48" s="41"/>
    </row>
    <row r="49" spans="1:8" s="2" customFormat="1" ht="7.5" customHeight="1">
      <c r="A49" s="54"/>
      <c r="B49" s="8"/>
      <c r="C49" s="8"/>
      <c r="D49" s="9"/>
      <c r="E49" s="9"/>
      <c r="F49" s="10"/>
      <c r="G49" s="9"/>
      <c r="H49" s="11"/>
    </row>
    <row r="50" spans="1:8" s="7" customFormat="1" ht="15" customHeight="1">
      <c r="A50" s="220" t="s">
        <v>154</v>
      </c>
      <c r="B50" s="220"/>
      <c r="C50" s="220"/>
      <c r="D50" s="220"/>
      <c r="E50" s="220"/>
      <c r="F50" s="220"/>
      <c r="G50" s="220"/>
      <c r="H50" s="58"/>
    </row>
    <row r="51" spans="1:7" s="2" customFormat="1" ht="24.75">
      <c r="A51" s="17" t="s">
        <v>3</v>
      </c>
      <c r="B51" s="15" t="s">
        <v>4</v>
      </c>
      <c r="C51" s="15" t="s">
        <v>5</v>
      </c>
      <c r="D51" s="15" t="s">
        <v>6</v>
      </c>
      <c r="E51" s="16" t="s">
        <v>45</v>
      </c>
      <c r="F51" s="221" t="s">
        <v>46</v>
      </c>
      <c r="G51" s="222"/>
    </row>
    <row r="52" spans="1:7" s="2" customFormat="1" ht="25.5" customHeight="1">
      <c r="A52" s="17" t="s">
        <v>65</v>
      </c>
      <c r="B52" s="27" t="s">
        <v>152</v>
      </c>
      <c r="C52" s="29" t="s">
        <v>16</v>
      </c>
      <c r="D52" s="28">
        <v>1</v>
      </c>
      <c r="E52" s="30">
        <v>28574.17</v>
      </c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16</v>
      </c>
      <c r="D53" s="28">
        <v>1</v>
      </c>
      <c r="E53" s="30">
        <v>5026.24</v>
      </c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16</v>
      </c>
      <c r="D54" s="28">
        <v>1</v>
      </c>
      <c r="E54" s="30">
        <v>2638.78</v>
      </c>
      <c r="F54" s="30"/>
      <c r="G54" s="30"/>
    </row>
    <row r="55" spans="1:7" s="2" customFormat="1" ht="15">
      <c r="A55" s="17" t="s">
        <v>68</v>
      </c>
      <c r="B55" s="28" t="s">
        <v>54</v>
      </c>
      <c r="C55" s="29" t="s">
        <v>16</v>
      </c>
      <c r="D55" s="28">
        <v>1</v>
      </c>
      <c r="E55" s="30">
        <v>4033.54</v>
      </c>
      <c r="F55" s="30"/>
      <c r="G55" s="30"/>
    </row>
    <row r="56" spans="1:7" s="2" customFormat="1" ht="15">
      <c r="A56" s="17" t="s">
        <v>70</v>
      </c>
      <c r="B56" s="18" t="s">
        <v>73</v>
      </c>
      <c r="C56" s="29" t="s">
        <v>16</v>
      </c>
      <c r="D56" s="28">
        <v>1</v>
      </c>
      <c r="E56" s="30">
        <f>E57+E58+E59+E60+E61+E62+E63+E64+E65</f>
        <v>7463.37</v>
      </c>
      <c r="F56" s="30"/>
      <c r="G56" s="30"/>
    </row>
    <row r="57" spans="1:7" s="4" customFormat="1" ht="15">
      <c r="A57" s="55"/>
      <c r="B57" s="34" t="s">
        <v>62</v>
      </c>
      <c r="C57" s="29" t="s">
        <v>16</v>
      </c>
      <c r="D57" s="28">
        <v>1</v>
      </c>
      <c r="E57" s="36">
        <v>1426.49</v>
      </c>
      <c r="F57" s="37"/>
      <c r="G57" s="36"/>
    </row>
    <row r="58" spans="1:11" s="4" customFormat="1" ht="15">
      <c r="A58" s="55"/>
      <c r="B58" s="34" t="s">
        <v>63</v>
      </c>
      <c r="C58" s="29" t="s">
        <v>16</v>
      </c>
      <c r="D58" s="28">
        <v>1</v>
      </c>
      <c r="E58" s="36">
        <v>809.22</v>
      </c>
      <c r="F58" s="37"/>
      <c r="G58" s="36"/>
      <c r="J58" s="38"/>
      <c r="K58" s="39"/>
    </row>
    <row r="59" spans="1:7" s="4" customFormat="1" ht="24.75">
      <c r="A59" s="55"/>
      <c r="B59" s="34" t="s">
        <v>64</v>
      </c>
      <c r="C59" s="29" t="s">
        <v>16</v>
      </c>
      <c r="D59" s="28">
        <v>1</v>
      </c>
      <c r="E59" s="36">
        <f>1499.28</f>
        <v>1499.28</v>
      </c>
      <c r="F59" s="37"/>
      <c r="G59" s="36"/>
    </row>
    <row r="60" spans="1:7" s="4" customFormat="1" ht="15">
      <c r="A60" s="55"/>
      <c r="B60" s="34" t="s">
        <v>69</v>
      </c>
      <c r="C60" s="29" t="s">
        <v>16</v>
      </c>
      <c r="D60" s="28">
        <v>1</v>
      </c>
      <c r="E60" s="35">
        <v>1992.11</v>
      </c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72</v>
      </c>
      <c r="C62" s="29" t="s">
        <v>16</v>
      </c>
      <c r="D62" s="28">
        <v>1</v>
      </c>
      <c r="E62" s="35">
        <v>1582.59</v>
      </c>
      <c r="F62" s="40"/>
      <c r="G62" s="35"/>
    </row>
    <row r="63" spans="1:7" s="4" customFormat="1" ht="15">
      <c r="A63" s="55"/>
      <c r="B63" s="34" t="s">
        <v>75</v>
      </c>
      <c r="C63" s="29" t="s">
        <v>16</v>
      </c>
      <c r="D63" s="28">
        <v>1</v>
      </c>
      <c r="E63" s="35">
        <v>153.68</v>
      </c>
      <c r="F63" s="40"/>
      <c r="G63" s="35"/>
    </row>
    <row r="64" spans="1:7" s="4" customFormat="1" ht="15">
      <c r="A64" s="55"/>
      <c r="B64" s="34" t="s">
        <v>76</v>
      </c>
      <c r="C64" s="29" t="s">
        <v>16</v>
      </c>
      <c r="D64" s="28">
        <v>1</v>
      </c>
      <c r="E64" s="35"/>
      <c r="F64" s="40"/>
      <c r="G64" s="35"/>
    </row>
    <row r="65" spans="1:9" s="4" customFormat="1" ht="15">
      <c r="A65" s="55"/>
      <c r="B65" s="34"/>
      <c r="C65" s="35"/>
      <c r="D65" s="35"/>
      <c r="E65" s="35"/>
      <c r="F65" s="40"/>
      <c r="G65" s="35"/>
      <c r="I65" s="39"/>
    </row>
    <row r="66" spans="1:7" s="2" customFormat="1" ht="15">
      <c r="A66" s="180" t="s">
        <v>155</v>
      </c>
      <c r="B66" s="181"/>
      <c r="C66" s="182"/>
      <c r="D66" s="41"/>
      <c r="E66" s="42">
        <f>E52+E53+E54+E55+E56</f>
        <v>47736.1</v>
      </c>
      <c r="F66" s="43"/>
      <c r="G66" s="41"/>
    </row>
    <row r="67" spans="1:7" s="52" customFormat="1" ht="25.5">
      <c r="A67" s="56" t="s">
        <v>156</v>
      </c>
      <c r="B67" s="47" t="s">
        <v>55</v>
      </c>
      <c r="C67" s="48" t="s">
        <v>16</v>
      </c>
      <c r="D67" s="49">
        <v>1</v>
      </c>
      <c r="E67" s="51">
        <v>6743.12</v>
      </c>
      <c r="F67" s="50"/>
      <c r="G67" s="51"/>
    </row>
    <row r="68" spans="1:7" s="46" customFormat="1" ht="15" customHeight="1">
      <c r="A68" s="223" t="s">
        <v>157</v>
      </c>
      <c r="B68" s="224"/>
      <c r="C68" s="224"/>
      <c r="D68" s="224"/>
      <c r="E68" s="224"/>
      <c r="F68" s="224"/>
      <c r="G68" s="225"/>
    </row>
    <row r="69" spans="1:7" s="2" customFormat="1" ht="33.75" customHeight="1">
      <c r="A69" s="17" t="s">
        <v>3</v>
      </c>
      <c r="B69" s="15" t="s">
        <v>4</v>
      </c>
      <c r="C69" s="15" t="s">
        <v>5</v>
      </c>
      <c r="D69" s="15" t="s">
        <v>6</v>
      </c>
      <c r="E69" s="16" t="s">
        <v>45</v>
      </c>
      <c r="F69" s="221" t="s">
        <v>46</v>
      </c>
      <c r="G69" s="222"/>
    </row>
    <row r="70" spans="1:7" s="2" customFormat="1" ht="25.5" customHeight="1">
      <c r="A70" s="17"/>
      <c r="B70" s="33" t="s">
        <v>56</v>
      </c>
      <c r="C70" s="29" t="s">
        <v>16</v>
      </c>
      <c r="D70" s="28">
        <v>1</v>
      </c>
      <c r="E70" s="30">
        <v>76578.18</v>
      </c>
      <c r="F70" s="30"/>
      <c r="G70" s="30"/>
    </row>
    <row r="71" spans="1:7" s="2" customFormat="1" ht="15">
      <c r="A71" s="17"/>
      <c r="B71" s="33" t="s">
        <v>57</v>
      </c>
      <c r="C71" s="29" t="s">
        <v>16</v>
      </c>
      <c r="D71" s="28">
        <v>1</v>
      </c>
      <c r="E71" s="30">
        <v>21053.66</v>
      </c>
      <c r="F71" s="30"/>
      <c r="G71" s="30"/>
    </row>
    <row r="72" spans="1:9" s="2" customFormat="1" ht="15">
      <c r="A72" s="17"/>
      <c r="B72" s="33" t="s">
        <v>58</v>
      </c>
      <c r="C72" s="29" t="s">
        <v>16</v>
      </c>
      <c r="D72" s="28">
        <v>1</v>
      </c>
      <c r="E72" s="30">
        <v>35322.07</v>
      </c>
      <c r="F72" s="30"/>
      <c r="G72" s="30"/>
      <c r="I72" s="13">
        <f>E72+E71</f>
        <v>56375.729999999996</v>
      </c>
    </row>
    <row r="73" spans="1:7" s="2" customFormat="1" ht="15">
      <c r="A73" s="17"/>
      <c r="B73" s="33" t="s">
        <v>59</v>
      </c>
      <c r="C73" s="29" t="s">
        <v>16</v>
      </c>
      <c r="D73" s="28">
        <v>1</v>
      </c>
      <c r="E73" s="30">
        <v>22466.22</v>
      </c>
      <c r="F73" s="30"/>
      <c r="G73" s="30"/>
    </row>
    <row r="74" spans="1:9" s="2" customFormat="1" ht="15">
      <c r="A74" s="17"/>
      <c r="B74" s="33" t="s">
        <v>60</v>
      </c>
      <c r="C74" s="29" t="s">
        <v>16</v>
      </c>
      <c r="D74" s="19">
        <v>1</v>
      </c>
      <c r="E74" s="30">
        <v>24177.13</v>
      </c>
      <c r="F74" s="26"/>
      <c r="G74" s="23"/>
      <c r="I74" s="13">
        <f>E73+E74</f>
        <v>46643.350000000006</v>
      </c>
    </row>
    <row r="75" spans="1:7" s="2" customFormat="1" ht="15">
      <c r="A75" s="17"/>
      <c r="B75" s="18"/>
      <c r="C75" s="29"/>
      <c r="D75" s="28"/>
      <c r="E75" s="30"/>
      <c r="F75" s="30"/>
      <c r="G75" s="30"/>
    </row>
    <row r="76" spans="1:7" s="2" customFormat="1" ht="15">
      <c r="A76" s="216" t="s">
        <v>61</v>
      </c>
      <c r="B76" s="217"/>
      <c r="C76" s="218"/>
      <c r="D76" s="19"/>
      <c r="E76" s="30">
        <f>SUM(E70:E75)</f>
        <v>179597.26</v>
      </c>
      <c r="F76" s="21"/>
      <c r="G76" s="19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pans="1:7" s="2" customFormat="1" ht="15">
      <c r="A80" s="54"/>
      <c r="B80" s="8"/>
      <c r="C80" s="8"/>
      <c r="D80" s="31"/>
      <c r="E80" s="45"/>
      <c r="F80" s="32"/>
      <c r="G80" s="31"/>
    </row>
    <row r="81" s="2" customFormat="1" ht="15">
      <c r="A81" s="53"/>
    </row>
    <row r="82" spans="1:7" s="2" customFormat="1" ht="15">
      <c r="A82" s="219" t="s">
        <v>11</v>
      </c>
      <c r="B82" s="219"/>
      <c r="C82" s="219"/>
      <c r="D82" s="219"/>
      <c r="E82" s="226">
        <f>G28+G39+G48+E66+E67+E76</f>
        <v>426115.69000000006</v>
      </c>
      <c r="F82" s="226"/>
      <c r="G82" s="226"/>
    </row>
    <row r="83" spans="1:7" s="2" customFormat="1" ht="15">
      <c r="A83" s="53"/>
      <c r="G83" s="13"/>
    </row>
    <row r="84" s="2" customFormat="1" ht="15">
      <c r="A84" s="53"/>
    </row>
    <row r="85" s="2" customFormat="1" ht="15">
      <c r="A85" s="53"/>
    </row>
    <row r="86" s="2" customFormat="1" ht="15">
      <c r="A86" s="53"/>
    </row>
    <row r="87" spans="1:5" s="2" customFormat="1" ht="15">
      <c r="A87" s="227" t="s">
        <v>47</v>
      </c>
      <c r="B87" s="227"/>
      <c r="E87" s="2" t="s">
        <v>12</v>
      </c>
    </row>
    <row r="88" spans="1:5" s="2" customFormat="1" ht="15">
      <c r="A88" s="227" t="s">
        <v>1</v>
      </c>
      <c r="B88" s="227"/>
      <c r="E88" s="2" t="s">
        <v>210</v>
      </c>
    </row>
    <row r="89" spans="1:5" s="2" customFormat="1" ht="30" customHeight="1">
      <c r="A89" s="215" t="s">
        <v>71</v>
      </c>
      <c r="B89" s="215"/>
      <c r="C89" s="22"/>
      <c r="E89" s="2" t="s">
        <v>211</v>
      </c>
    </row>
    <row r="90" s="2" customFormat="1" ht="15">
      <c r="A90" s="53"/>
    </row>
    <row r="91" s="2" customFormat="1" ht="15">
      <c r="A91" s="53"/>
    </row>
    <row r="92" s="2" customFormat="1" ht="15">
      <c r="A92" s="53"/>
    </row>
    <row r="93" s="2" customFormat="1" ht="15">
      <c r="A93" s="53"/>
    </row>
  </sheetData>
  <sheetProtection/>
  <mergeCells count="17">
    <mergeCell ref="A88:B88"/>
    <mergeCell ref="A89:B89"/>
    <mergeCell ref="A82:D82"/>
    <mergeCell ref="A1:B1"/>
    <mergeCell ref="A3:E3"/>
    <mergeCell ref="A5:H5"/>
    <mergeCell ref="A6:H6"/>
    <mergeCell ref="E82:G82"/>
    <mergeCell ref="A87:B87"/>
    <mergeCell ref="F51:G51"/>
    <mergeCell ref="A68:G68"/>
    <mergeCell ref="F69:G69"/>
    <mergeCell ref="A76:C76"/>
    <mergeCell ref="A39:C39"/>
    <mergeCell ref="A41:H41"/>
    <mergeCell ref="A48:C48"/>
    <mergeCell ref="A50:G50"/>
  </mergeCells>
  <printOptions/>
  <pageMargins left="0.4" right="0.25" top="0.57" bottom="0.56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55">
      <selection activeCell="E59" sqref="E59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4" t="s">
        <v>0</v>
      </c>
      <c r="B1" s="204"/>
      <c r="C1" s="1" t="s">
        <v>209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4" t="s">
        <v>8</v>
      </c>
      <c r="B3" s="204"/>
      <c r="C3" s="204"/>
      <c r="D3" s="204"/>
      <c r="E3" s="204"/>
      <c r="F3" s="3" t="s">
        <v>162</v>
      </c>
      <c r="G3" s="1"/>
    </row>
    <row r="4" s="2" customFormat="1" ht="15">
      <c r="A4" s="53"/>
    </row>
    <row r="5" spans="1:8" s="2" customFormat="1" ht="18.75">
      <c r="A5" s="205" t="s">
        <v>182</v>
      </c>
      <c r="B5" s="205"/>
      <c r="C5" s="205"/>
      <c r="D5" s="205"/>
      <c r="E5" s="205"/>
      <c r="F5" s="205"/>
      <c r="G5" s="205"/>
      <c r="H5" s="205"/>
    </row>
    <row r="6" spans="1:8" s="2" customFormat="1" ht="15">
      <c r="A6" s="215" t="s">
        <v>149</v>
      </c>
      <c r="B6" s="215"/>
      <c r="C6" s="215"/>
      <c r="D6" s="215"/>
      <c r="E6" s="215"/>
      <c r="F6" s="215"/>
      <c r="G6" s="215"/>
      <c r="H6" s="215"/>
    </row>
    <row r="7" spans="1:6" s="2" customFormat="1" ht="15">
      <c r="A7" s="53"/>
      <c r="B7" s="4" t="s">
        <v>2</v>
      </c>
      <c r="C7" s="4"/>
      <c r="D7" s="5" t="s">
        <v>183</v>
      </c>
      <c r="E7" s="4"/>
      <c r="F7" s="4"/>
    </row>
    <row r="8" s="2" customFormat="1" ht="7.5" customHeight="1">
      <c r="A8" s="53"/>
    </row>
    <row r="9" spans="1:9" s="2" customFormat="1" ht="15">
      <c r="A9" s="149" t="s">
        <v>23</v>
      </c>
      <c r="B9" s="149"/>
      <c r="C9" s="149"/>
      <c r="D9" s="149"/>
      <c r="E9" s="149"/>
      <c r="F9" s="149"/>
      <c r="G9" s="149"/>
      <c r="H9" s="7">
        <v>12565.6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48104.83</v>
      </c>
      <c r="F11" s="23">
        <v>125</v>
      </c>
      <c r="G11" s="23">
        <f aca="true" t="shared" si="0" ref="G11:G23">E11+F11</f>
        <v>48229.83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9817.07</v>
      </c>
      <c r="F12" s="23">
        <v>399</v>
      </c>
      <c r="G12" s="23">
        <f t="shared" si="0"/>
        <v>10216.07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6" t="s">
        <v>129</v>
      </c>
      <c r="C14" s="159"/>
      <c r="D14" s="159"/>
      <c r="E14" s="159"/>
      <c r="F14" s="159">
        <v>252</v>
      </c>
      <c r="G14" s="23">
        <f t="shared" si="0"/>
        <v>252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46428.48</v>
      </c>
      <c r="F15" s="23"/>
      <c r="G15" s="23">
        <f t="shared" si="0"/>
        <v>46428.48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26654.9</v>
      </c>
      <c r="F16" s="23"/>
      <c r="G16" s="23">
        <f t="shared" si="0"/>
        <v>26654.9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931.8</v>
      </c>
      <c r="F17" s="23"/>
      <c r="G17" s="23">
        <f t="shared" si="0"/>
        <v>931.8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>
        <v>579.61</v>
      </c>
      <c r="F18" s="23"/>
      <c r="G18" s="23">
        <f t="shared" si="0"/>
        <v>579.61</v>
      </c>
      <c r="H18" s="19"/>
    </row>
    <row r="19" spans="1:8" s="2" customFormat="1" ht="15">
      <c r="A19" s="17" t="s">
        <v>134</v>
      </c>
      <c r="B19" s="18" t="s">
        <v>50</v>
      </c>
      <c r="C19" s="15" t="s">
        <v>16</v>
      </c>
      <c r="D19" s="19">
        <v>1</v>
      </c>
      <c r="E19" s="23">
        <v>5950</v>
      </c>
      <c r="F19" s="23"/>
      <c r="G19" s="23">
        <f t="shared" si="0"/>
        <v>5950</v>
      </c>
      <c r="H19" s="19"/>
    </row>
    <row r="20" spans="1:8" s="2" customFormat="1" ht="15">
      <c r="A20" s="17" t="s">
        <v>135</v>
      </c>
      <c r="B20" s="33" t="s">
        <v>103</v>
      </c>
      <c r="C20" s="15" t="s">
        <v>16</v>
      </c>
      <c r="D20" s="19">
        <v>1</v>
      </c>
      <c r="E20" s="23">
        <v>888.52</v>
      </c>
      <c r="F20" s="23"/>
      <c r="G20" s="23">
        <f t="shared" si="0"/>
        <v>888.52</v>
      </c>
      <c r="H20" s="19"/>
    </row>
    <row r="21" spans="1:8" s="2" customFormat="1" ht="15">
      <c r="A21" s="17" t="s">
        <v>186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187</v>
      </c>
      <c r="B22" s="33" t="s">
        <v>107</v>
      </c>
      <c r="C22" s="15" t="s">
        <v>16</v>
      </c>
      <c r="D22" s="19">
        <v>1</v>
      </c>
      <c r="E22" s="23">
        <v>3064.09</v>
      </c>
      <c r="F22" s="23"/>
      <c r="G22" s="23">
        <f t="shared" si="0"/>
        <v>3064.09</v>
      </c>
      <c r="H22" s="19"/>
    </row>
    <row r="23" spans="1:8" s="2" customFormat="1" ht="15">
      <c r="A23" s="17" t="s">
        <v>188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10" s="2" customFormat="1" ht="15">
      <c r="A24" s="17" t="s">
        <v>189</v>
      </c>
      <c r="B24" s="18" t="s">
        <v>48</v>
      </c>
      <c r="C24" s="15"/>
      <c r="D24" s="19"/>
      <c r="E24" s="23">
        <f>E25+E26+E27</f>
        <v>0</v>
      </c>
      <c r="F24" s="23">
        <f>F25+F26</f>
        <v>0</v>
      </c>
      <c r="G24" s="23">
        <f>G25+G26+G27</f>
        <v>0</v>
      </c>
      <c r="H24" s="19"/>
      <c r="J24" s="2" t="s">
        <v>95</v>
      </c>
    </row>
    <row r="25" spans="1:8" s="4" customFormat="1" ht="15">
      <c r="A25" s="55"/>
      <c r="B25" s="34"/>
      <c r="C25" s="161"/>
      <c r="D25" s="35"/>
      <c r="E25" s="36"/>
      <c r="F25" s="36"/>
      <c r="G25" s="36"/>
      <c r="H25" s="35"/>
    </row>
    <row r="26" spans="1:8" s="4" customFormat="1" ht="15">
      <c r="A26" s="55"/>
      <c r="B26" s="34"/>
      <c r="C26" s="161"/>
      <c r="D26" s="35"/>
      <c r="E26" s="162"/>
      <c r="F26" s="36"/>
      <c r="G26" s="36"/>
      <c r="H26" s="35"/>
    </row>
    <row r="27" spans="1:8" s="4" customFormat="1" ht="15">
      <c r="A27" s="193"/>
      <c r="B27" s="194"/>
      <c r="C27" s="195"/>
      <c r="D27" s="35"/>
      <c r="E27" s="162"/>
      <c r="F27" s="36"/>
      <c r="G27" s="36"/>
      <c r="H27" s="35"/>
    </row>
    <row r="28" spans="1:8" s="2" customFormat="1" ht="17.25" customHeight="1">
      <c r="A28" s="61" t="s">
        <v>33</v>
      </c>
      <c r="B28" s="62"/>
      <c r="C28" s="170"/>
      <c r="D28" s="135"/>
      <c r="E28" s="171">
        <f>E11+E12+E13+E14+E15+E16+E17+E18+E19+E24+E20+E21+E22+E23</f>
        <v>142419.29999999996</v>
      </c>
      <c r="F28" s="171">
        <f>F11+F12+F13+F14+F15+F16+F17+F18+F19+F24+F20+F21+F22+F23</f>
        <v>776</v>
      </c>
      <c r="G28" s="171">
        <f>G11+G12+G13+G14+G15+G16+G17+G18+G19+G24+G20+G21+G22+G23</f>
        <v>143195.29999999996</v>
      </c>
      <c r="H28" s="41"/>
    </row>
    <row r="29" s="2" customFormat="1" ht="8.25" customHeight="1">
      <c r="A29" s="53"/>
    </row>
    <row r="30" spans="1:8" s="2" customFormat="1" ht="15">
      <c r="A30" s="149" t="s">
        <v>32</v>
      </c>
      <c r="B30" s="149"/>
      <c r="C30" s="149"/>
      <c r="D30" s="149"/>
      <c r="E30" s="149"/>
      <c r="F30" s="149"/>
      <c r="G30" s="149"/>
      <c r="H30" s="149"/>
    </row>
    <row r="31" spans="1:8" s="2" customFormat="1" ht="36.75" customHeight="1">
      <c r="A31" s="17" t="s">
        <v>3</v>
      </c>
      <c r="B31" s="15" t="s">
        <v>40</v>
      </c>
      <c r="C31" s="15" t="s">
        <v>5</v>
      </c>
      <c r="D31" s="15" t="s">
        <v>6</v>
      </c>
      <c r="E31" s="16" t="s">
        <v>17</v>
      </c>
      <c r="F31" s="16" t="s">
        <v>39</v>
      </c>
      <c r="G31" s="15" t="s">
        <v>18</v>
      </c>
      <c r="H31" s="15" t="s">
        <v>7</v>
      </c>
    </row>
    <row r="32" spans="1:8" s="2" customFormat="1" ht="25.5" customHeight="1">
      <c r="A32" s="17" t="s">
        <v>34</v>
      </c>
      <c r="B32" s="18" t="s">
        <v>150</v>
      </c>
      <c r="C32" s="15" t="s">
        <v>16</v>
      </c>
      <c r="D32" s="19">
        <v>1</v>
      </c>
      <c r="E32" s="23">
        <v>38552.28</v>
      </c>
      <c r="F32" s="23">
        <v>5138</v>
      </c>
      <c r="G32" s="23">
        <f aca="true" t="shared" si="1" ref="G32:G38">E32+F32</f>
        <v>43690.28</v>
      </c>
      <c r="H32" s="19"/>
    </row>
    <row r="33" spans="1:8" s="2" customFormat="1" ht="26.25" customHeight="1">
      <c r="A33" s="17" t="s">
        <v>35</v>
      </c>
      <c r="B33" s="18" t="s">
        <v>151</v>
      </c>
      <c r="C33" s="15" t="s">
        <v>16</v>
      </c>
      <c r="D33" s="19">
        <v>1</v>
      </c>
      <c r="E33" s="23">
        <v>10309.44</v>
      </c>
      <c r="F33" s="23">
        <v>66</v>
      </c>
      <c r="G33" s="23">
        <f t="shared" si="1"/>
        <v>10375.44</v>
      </c>
      <c r="H33" s="19"/>
    </row>
    <row r="34" spans="1:8" s="2" customFormat="1" ht="15">
      <c r="A34" s="17" t="s">
        <v>36</v>
      </c>
      <c r="B34" s="156" t="s">
        <v>129</v>
      </c>
      <c r="C34" s="15"/>
      <c r="D34" s="19"/>
      <c r="E34" s="23"/>
      <c r="F34" s="23">
        <v>40</v>
      </c>
      <c r="G34" s="23">
        <f t="shared" si="1"/>
        <v>40</v>
      </c>
      <c r="H34" s="19"/>
    </row>
    <row r="35" spans="1:8" s="2" customFormat="1" ht="15">
      <c r="A35" s="17" t="s">
        <v>37</v>
      </c>
      <c r="B35" s="18" t="s">
        <v>51</v>
      </c>
      <c r="C35" s="15" t="s">
        <v>16</v>
      </c>
      <c r="D35" s="19">
        <v>1</v>
      </c>
      <c r="E35" s="23">
        <v>4384.95</v>
      </c>
      <c r="F35" s="23"/>
      <c r="G35" s="23">
        <f t="shared" si="1"/>
        <v>4384.95</v>
      </c>
      <c r="H35" s="19"/>
    </row>
    <row r="36" spans="1:8" s="2" customFormat="1" ht="15">
      <c r="A36" s="17" t="s">
        <v>137</v>
      </c>
      <c r="B36" s="18" t="s">
        <v>48</v>
      </c>
      <c r="C36" s="15" t="s">
        <v>9</v>
      </c>
      <c r="D36" s="19">
        <v>1</v>
      </c>
      <c r="E36" s="23">
        <f>E37+E38</f>
        <v>0</v>
      </c>
      <c r="F36" s="23">
        <f>F37+F38</f>
        <v>0</v>
      </c>
      <c r="G36" s="23">
        <f t="shared" si="1"/>
        <v>0</v>
      </c>
      <c r="H36" s="19"/>
    </row>
    <row r="37" spans="1:8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</row>
    <row r="38" spans="1:9" s="4" customFormat="1" ht="15">
      <c r="A38" s="55"/>
      <c r="B38" s="34"/>
      <c r="C38" s="161"/>
      <c r="D38" s="35"/>
      <c r="E38" s="36"/>
      <c r="F38" s="36"/>
      <c r="G38" s="36">
        <f t="shared" si="1"/>
        <v>0</v>
      </c>
      <c r="H38" s="35"/>
      <c r="I38" s="4" t="s">
        <v>95</v>
      </c>
    </row>
    <row r="39" spans="1:8" s="2" customFormat="1" ht="15">
      <c r="A39" s="231" t="s">
        <v>10</v>
      </c>
      <c r="B39" s="232"/>
      <c r="C39" s="203"/>
      <c r="D39" s="41"/>
      <c r="E39" s="171">
        <f>E32+E33+E34+E35+E36</f>
        <v>53246.67</v>
      </c>
      <c r="F39" s="171">
        <f>F32+F33+F34+F35+F36</f>
        <v>5244</v>
      </c>
      <c r="G39" s="171">
        <f>G32+G33+G34+G35+G36</f>
        <v>58490.67</v>
      </c>
      <c r="H39" s="41"/>
    </row>
    <row r="40" s="2" customFormat="1" ht="9.75" customHeight="1">
      <c r="A40" s="53"/>
    </row>
    <row r="41" spans="1:8" s="2" customFormat="1" ht="15">
      <c r="A41" s="220" t="s">
        <v>38</v>
      </c>
      <c r="B41" s="220"/>
      <c r="C41" s="220"/>
      <c r="D41" s="220"/>
      <c r="E41" s="220"/>
      <c r="F41" s="220"/>
      <c r="G41" s="220"/>
      <c r="H41" s="220"/>
    </row>
    <row r="42" spans="1:8" s="2" customFormat="1" ht="36" customHeight="1">
      <c r="A42" s="17" t="s">
        <v>3</v>
      </c>
      <c r="B42" s="15" t="s">
        <v>40</v>
      </c>
      <c r="C42" s="15" t="s">
        <v>5</v>
      </c>
      <c r="D42" s="15" t="s">
        <v>6</v>
      </c>
      <c r="E42" s="16" t="s">
        <v>17</v>
      </c>
      <c r="F42" s="16" t="s">
        <v>39</v>
      </c>
      <c r="G42" s="15" t="s">
        <v>18</v>
      </c>
      <c r="H42" s="15" t="s">
        <v>7</v>
      </c>
    </row>
    <row r="43" spans="1:8" s="2" customFormat="1" ht="26.25" customHeight="1">
      <c r="A43" s="17" t="s">
        <v>42</v>
      </c>
      <c r="B43" s="18" t="s">
        <v>153</v>
      </c>
      <c r="C43" s="15" t="s">
        <v>16</v>
      </c>
      <c r="D43" s="15">
        <v>1</v>
      </c>
      <c r="E43" s="25">
        <v>4497.11</v>
      </c>
      <c r="F43" s="25">
        <v>300</v>
      </c>
      <c r="G43" s="26">
        <f>E43+F43</f>
        <v>4797.11</v>
      </c>
      <c r="H43" s="19"/>
    </row>
    <row r="44" spans="1:8" s="2" customFormat="1" ht="15">
      <c r="A44" s="17"/>
      <c r="B44" s="156" t="s">
        <v>129</v>
      </c>
      <c r="C44" s="15"/>
      <c r="D44" s="15"/>
      <c r="E44" s="25"/>
      <c r="F44" s="25"/>
      <c r="G44" s="26">
        <f>E44+F44</f>
        <v>0</v>
      </c>
      <c r="H44" s="19"/>
    </row>
    <row r="45" spans="1:8" s="2" customFormat="1" ht="15">
      <c r="A45" s="17" t="s">
        <v>43</v>
      </c>
      <c r="B45" s="18" t="s">
        <v>48</v>
      </c>
      <c r="C45" s="15"/>
      <c r="D45" s="15"/>
      <c r="E45" s="25"/>
      <c r="F45" s="25"/>
      <c r="G45" s="26">
        <f>E45+F45</f>
        <v>0</v>
      </c>
      <c r="H45" s="19"/>
    </row>
    <row r="46" spans="1:11" s="2" customFormat="1" ht="15">
      <c r="A46" s="17"/>
      <c r="B46" s="18" t="s">
        <v>168</v>
      </c>
      <c r="C46" s="15"/>
      <c r="D46" s="19"/>
      <c r="E46" s="23">
        <v>74100</v>
      </c>
      <c r="F46" s="26"/>
      <c r="G46" s="37">
        <f>E46+F46</f>
        <v>74100</v>
      </c>
      <c r="H46" s="19"/>
      <c r="K46" s="12">
        <f>F28+F39+F48</f>
        <v>6320</v>
      </c>
    </row>
    <row r="47" spans="1:8" s="2" customFormat="1" ht="15">
      <c r="A47" s="17"/>
      <c r="B47" s="18"/>
      <c r="C47" s="19"/>
      <c r="D47" s="19"/>
      <c r="E47" s="23"/>
      <c r="F47" s="26"/>
      <c r="G47" s="37">
        <f>E47+F47</f>
        <v>0</v>
      </c>
      <c r="H47" s="19"/>
    </row>
    <row r="48" spans="1:8" s="2" customFormat="1" ht="15">
      <c r="A48" s="228" t="s">
        <v>41</v>
      </c>
      <c r="B48" s="229"/>
      <c r="C48" s="230"/>
      <c r="D48" s="41"/>
      <c r="E48" s="42">
        <f>SUM(E43:E47)</f>
        <v>78597.11</v>
      </c>
      <c r="F48" s="44">
        <f>SUM(F43:F45)</f>
        <v>300</v>
      </c>
      <c r="G48" s="42">
        <f>SUM(G43:G47)</f>
        <v>78897.11</v>
      </c>
      <c r="H48" s="41"/>
    </row>
    <row r="49" spans="1:8" s="2" customFormat="1" ht="7.5" customHeight="1">
      <c r="A49" s="54"/>
      <c r="B49" s="8"/>
      <c r="C49" s="8"/>
      <c r="D49" s="9"/>
      <c r="E49" s="9"/>
      <c r="F49" s="10"/>
      <c r="G49" s="9"/>
      <c r="H49" s="11"/>
    </row>
    <row r="50" spans="1:8" s="7" customFormat="1" ht="15" customHeight="1">
      <c r="A50" s="220" t="s">
        <v>154</v>
      </c>
      <c r="B50" s="220"/>
      <c r="C50" s="220"/>
      <c r="D50" s="220"/>
      <c r="E50" s="220"/>
      <c r="F50" s="220"/>
      <c r="G50" s="220"/>
      <c r="H50" s="58"/>
    </row>
    <row r="51" spans="1:7" s="2" customFormat="1" ht="24.75">
      <c r="A51" s="17" t="s">
        <v>3</v>
      </c>
      <c r="B51" s="15" t="s">
        <v>4</v>
      </c>
      <c r="C51" s="15" t="s">
        <v>5</v>
      </c>
      <c r="D51" s="15" t="s">
        <v>6</v>
      </c>
      <c r="E51" s="16" t="s">
        <v>45</v>
      </c>
      <c r="F51" s="221" t="s">
        <v>46</v>
      </c>
      <c r="G51" s="222"/>
    </row>
    <row r="52" spans="1:7" s="2" customFormat="1" ht="25.5" customHeight="1">
      <c r="A52" s="17" t="s">
        <v>65</v>
      </c>
      <c r="B52" s="27" t="s">
        <v>152</v>
      </c>
      <c r="C52" s="29" t="s">
        <v>16</v>
      </c>
      <c r="D52" s="28">
        <v>1</v>
      </c>
      <c r="E52" s="30">
        <v>28574.17</v>
      </c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16</v>
      </c>
      <c r="D53" s="28">
        <v>1</v>
      </c>
      <c r="E53" s="30">
        <v>5026.24</v>
      </c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16</v>
      </c>
      <c r="D54" s="28">
        <v>1</v>
      </c>
      <c r="E54" s="30">
        <v>2638.78</v>
      </c>
      <c r="F54" s="30"/>
      <c r="G54" s="30"/>
    </row>
    <row r="55" spans="1:7" s="2" customFormat="1" ht="15">
      <c r="A55" s="17" t="s">
        <v>68</v>
      </c>
      <c r="B55" s="28" t="s">
        <v>54</v>
      </c>
      <c r="C55" s="29" t="s">
        <v>16</v>
      </c>
      <c r="D55" s="28">
        <v>1</v>
      </c>
      <c r="E55" s="30">
        <v>6129.68</v>
      </c>
      <c r="F55" s="30"/>
      <c r="G55" s="30"/>
    </row>
    <row r="56" spans="1:7" s="2" customFormat="1" ht="15">
      <c r="A56" s="17" t="s">
        <v>70</v>
      </c>
      <c r="B56" s="18" t="s">
        <v>73</v>
      </c>
      <c r="C56" s="29" t="s">
        <v>16</v>
      </c>
      <c r="D56" s="28">
        <v>1</v>
      </c>
      <c r="E56" s="30">
        <f>E57+E58+E59+E60+E61+E62+E63+E64+E65</f>
        <v>7015.64</v>
      </c>
      <c r="F56" s="30"/>
      <c r="G56" s="30"/>
    </row>
    <row r="57" spans="1:7" s="4" customFormat="1" ht="15">
      <c r="A57" s="55"/>
      <c r="B57" s="34" t="s">
        <v>62</v>
      </c>
      <c r="C57" s="29" t="s">
        <v>16</v>
      </c>
      <c r="D57" s="28">
        <v>1</v>
      </c>
      <c r="E57" s="36">
        <v>1493.02</v>
      </c>
      <c r="F57" s="37"/>
      <c r="G57" s="36"/>
    </row>
    <row r="58" spans="1:11" s="4" customFormat="1" ht="15">
      <c r="A58" s="55"/>
      <c r="B58" s="34" t="s">
        <v>63</v>
      </c>
      <c r="C58" s="29" t="s">
        <v>16</v>
      </c>
      <c r="D58" s="28">
        <v>1</v>
      </c>
      <c r="E58" s="36">
        <v>1216.92</v>
      </c>
      <c r="F58" s="37"/>
      <c r="G58" s="36"/>
      <c r="J58" s="38"/>
      <c r="K58" s="39"/>
    </row>
    <row r="59" spans="1:7" s="4" customFormat="1" ht="24.75">
      <c r="A59" s="55"/>
      <c r="B59" s="34" t="s">
        <v>64</v>
      </c>
      <c r="C59" s="29" t="s">
        <v>16</v>
      </c>
      <c r="D59" s="28">
        <v>1</v>
      </c>
      <c r="E59" s="36">
        <f>1499.28+369.63</f>
        <v>1868.9099999999999</v>
      </c>
      <c r="F59" s="37"/>
      <c r="G59" s="36"/>
    </row>
    <row r="60" spans="1:7" s="4" customFormat="1" ht="15">
      <c r="A60" s="55"/>
      <c r="B60" s="34" t="s">
        <v>69</v>
      </c>
      <c r="C60" s="29" t="s">
        <v>16</v>
      </c>
      <c r="D60" s="28">
        <v>1</v>
      </c>
      <c r="E60" s="35">
        <v>1788.79</v>
      </c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72</v>
      </c>
      <c r="C62" s="29" t="s">
        <v>16</v>
      </c>
      <c r="D62" s="28">
        <v>1</v>
      </c>
      <c r="E62" s="35">
        <v>581.19</v>
      </c>
      <c r="F62" s="40"/>
      <c r="G62" s="35"/>
    </row>
    <row r="63" spans="1:7" s="4" customFormat="1" ht="15">
      <c r="A63" s="55"/>
      <c r="B63" s="34" t="s">
        <v>75</v>
      </c>
      <c r="C63" s="29" t="s">
        <v>16</v>
      </c>
      <c r="D63" s="28">
        <v>1</v>
      </c>
      <c r="E63" s="35">
        <v>66.81</v>
      </c>
      <c r="F63" s="40"/>
      <c r="G63" s="35"/>
    </row>
    <row r="64" spans="1:7" s="4" customFormat="1" ht="15">
      <c r="A64" s="55"/>
      <c r="B64" s="34" t="s">
        <v>76</v>
      </c>
      <c r="C64" s="29" t="s">
        <v>16</v>
      </c>
      <c r="D64" s="28">
        <v>1</v>
      </c>
      <c r="E64" s="35"/>
      <c r="F64" s="40"/>
      <c r="G64" s="35"/>
    </row>
    <row r="65" spans="1:9" s="4" customFormat="1" ht="15">
      <c r="A65" s="55"/>
      <c r="B65" s="34"/>
      <c r="C65" s="35"/>
      <c r="D65" s="35"/>
      <c r="E65" s="35"/>
      <c r="F65" s="40"/>
      <c r="G65" s="35"/>
      <c r="I65" s="39"/>
    </row>
    <row r="66" spans="1:7" s="2" customFormat="1" ht="15">
      <c r="A66" s="180" t="s">
        <v>155</v>
      </c>
      <c r="B66" s="181"/>
      <c r="C66" s="182"/>
      <c r="D66" s="41"/>
      <c r="E66" s="42">
        <f>E52+E53+E54+E55+E56</f>
        <v>49384.509999999995</v>
      </c>
      <c r="F66" s="43"/>
      <c r="G66" s="41"/>
    </row>
    <row r="67" spans="1:7" s="52" customFormat="1" ht="25.5">
      <c r="A67" s="56" t="s">
        <v>156</v>
      </c>
      <c r="B67" s="47" t="s">
        <v>55</v>
      </c>
      <c r="C67" s="48" t="s">
        <v>16</v>
      </c>
      <c r="D67" s="49">
        <v>1</v>
      </c>
      <c r="E67" s="51">
        <v>7422.56</v>
      </c>
      <c r="F67" s="50"/>
      <c r="G67" s="51"/>
    </row>
    <row r="68" spans="1:7" s="46" customFormat="1" ht="15" customHeight="1">
      <c r="A68" s="223" t="s">
        <v>157</v>
      </c>
      <c r="B68" s="224"/>
      <c r="C68" s="224"/>
      <c r="D68" s="224"/>
      <c r="E68" s="224"/>
      <c r="F68" s="224"/>
      <c r="G68" s="225"/>
    </row>
    <row r="69" spans="1:7" s="2" customFormat="1" ht="33.75" customHeight="1">
      <c r="A69" s="17" t="s">
        <v>3</v>
      </c>
      <c r="B69" s="15" t="s">
        <v>4</v>
      </c>
      <c r="C69" s="15" t="s">
        <v>5</v>
      </c>
      <c r="D69" s="15" t="s">
        <v>6</v>
      </c>
      <c r="E69" s="16" t="s">
        <v>45</v>
      </c>
      <c r="F69" s="221" t="s">
        <v>46</v>
      </c>
      <c r="G69" s="222"/>
    </row>
    <row r="70" spans="1:7" s="2" customFormat="1" ht="25.5" customHeight="1">
      <c r="A70" s="17"/>
      <c r="B70" s="33" t="s">
        <v>56</v>
      </c>
      <c r="C70" s="29" t="s">
        <v>16</v>
      </c>
      <c r="D70" s="28">
        <v>1</v>
      </c>
      <c r="E70" s="30">
        <v>93224.48</v>
      </c>
      <c r="F70" s="30"/>
      <c r="G70" s="30"/>
    </row>
    <row r="71" spans="1:7" s="2" customFormat="1" ht="15">
      <c r="A71" s="17"/>
      <c r="B71" s="33" t="s">
        <v>57</v>
      </c>
      <c r="C71" s="29" t="s">
        <v>16</v>
      </c>
      <c r="D71" s="28">
        <v>1</v>
      </c>
      <c r="E71" s="30">
        <v>159207.39</v>
      </c>
      <c r="F71" s="30"/>
      <c r="G71" s="30"/>
    </row>
    <row r="72" spans="1:9" s="2" customFormat="1" ht="15">
      <c r="A72" s="17"/>
      <c r="B72" s="33" t="s">
        <v>58</v>
      </c>
      <c r="C72" s="29" t="s">
        <v>16</v>
      </c>
      <c r="D72" s="28">
        <v>1</v>
      </c>
      <c r="E72" s="30">
        <v>32189.49</v>
      </c>
      <c r="F72" s="30"/>
      <c r="G72" s="30"/>
      <c r="I72" s="13">
        <f>E72+E71</f>
        <v>191396.88</v>
      </c>
    </row>
    <row r="73" spans="1:7" s="2" customFormat="1" ht="15">
      <c r="A73" s="17"/>
      <c r="B73" s="33" t="s">
        <v>59</v>
      </c>
      <c r="C73" s="29" t="s">
        <v>16</v>
      </c>
      <c r="D73" s="28">
        <v>1</v>
      </c>
      <c r="E73" s="30">
        <v>24370.74</v>
      </c>
      <c r="F73" s="30"/>
      <c r="G73" s="30"/>
    </row>
    <row r="74" spans="1:9" s="2" customFormat="1" ht="15">
      <c r="A74" s="17"/>
      <c r="B74" s="33" t="s">
        <v>60</v>
      </c>
      <c r="C74" s="29" t="s">
        <v>16</v>
      </c>
      <c r="D74" s="19">
        <v>1</v>
      </c>
      <c r="E74" s="30">
        <v>25240.73</v>
      </c>
      <c r="F74" s="26"/>
      <c r="G74" s="23"/>
      <c r="I74" s="13">
        <f>E73+E74</f>
        <v>49611.47</v>
      </c>
    </row>
    <row r="75" spans="1:7" s="2" customFormat="1" ht="15">
      <c r="A75" s="17"/>
      <c r="B75" s="18"/>
      <c r="C75" s="29"/>
      <c r="D75" s="28"/>
      <c r="E75" s="30"/>
      <c r="F75" s="30"/>
      <c r="G75" s="30"/>
    </row>
    <row r="76" spans="1:7" s="2" customFormat="1" ht="15">
      <c r="A76" s="216" t="s">
        <v>61</v>
      </c>
      <c r="B76" s="217"/>
      <c r="C76" s="218"/>
      <c r="D76" s="19"/>
      <c r="E76" s="30">
        <f>SUM(E70:E75)</f>
        <v>334232.82999999996</v>
      </c>
      <c r="F76" s="21"/>
      <c r="G76" s="19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pans="1:7" s="2" customFormat="1" ht="15">
      <c r="A80" s="54"/>
      <c r="B80" s="8"/>
      <c r="C80" s="8"/>
      <c r="D80" s="31"/>
      <c r="E80" s="45"/>
      <c r="F80" s="32"/>
      <c r="G80" s="31"/>
    </row>
    <row r="81" s="2" customFormat="1" ht="15">
      <c r="A81" s="53"/>
    </row>
    <row r="82" spans="1:7" s="2" customFormat="1" ht="15">
      <c r="A82" s="219" t="s">
        <v>11</v>
      </c>
      <c r="B82" s="219"/>
      <c r="C82" s="219"/>
      <c r="D82" s="219"/>
      <c r="E82" s="226">
        <f>G28+G39+G48+E66+E67+E76</f>
        <v>671622.98</v>
      </c>
      <c r="F82" s="226"/>
      <c r="G82" s="226"/>
    </row>
    <row r="83" spans="1:7" s="2" customFormat="1" ht="15">
      <c r="A83" s="53"/>
      <c r="G83" s="13"/>
    </row>
    <row r="84" s="2" customFormat="1" ht="15">
      <c r="A84" s="53"/>
    </row>
    <row r="85" s="2" customFormat="1" ht="15">
      <c r="A85" s="53"/>
    </row>
    <row r="86" s="2" customFormat="1" ht="15">
      <c r="A86" s="53"/>
    </row>
    <row r="87" spans="1:5" s="2" customFormat="1" ht="15">
      <c r="A87" s="227" t="s">
        <v>47</v>
      </c>
      <c r="B87" s="227"/>
      <c r="E87" s="2" t="s">
        <v>12</v>
      </c>
    </row>
    <row r="88" spans="1:5" s="2" customFormat="1" ht="15">
      <c r="A88" s="227" t="s">
        <v>1</v>
      </c>
      <c r="B88" s="227"/>
      <c r="E88" s="2" t="s">
        <v>210</v>
      </c>
    </row>
    <row r="89" spans="1:5" s="2" customFormat="1" ht="30" customHeight="1">
      <c r="A89" s="215" t="s">
        <v>71</v>
      </c>
      <c r="B89" s="215"/>
      <c r="C89" s="22"/>
      <c r="E89" s="2" t="s">
        <v>211</v>
      </c>
    </row>
    <row r="90" s="2" customFormat="1" ht="15">
      <c r="A90" s="53"/>
    </row>
    <row r="91" s="2" customFormat="1" ht="15">
      <c r="A91" s="53"/>
    </row>
    <row r="92" s="2" customFormat="1" ht="15">
      <c r="A92" s="53"/>
    </row>
    <row r="93" s="2" customFormat="1" ht="15">
      <c r="A93" s="53"/>
    </row>
  </sheetData>
  <sheetProtection/>
  <mergeCells count="17">
    <mergeCell ref="A88:B88"/>
    <mergeCell ref="A89:B89"/>
    <mergeCell ref="A82:D82"/>
    <mergeCell ref="A1:B1"/>
    <mergeCell ref="A3:E3"/>
    <mergeCell ref="A5:H5"/>
    <mergeCell ref="A6:H6"/>
    <mergeCell ref="E82:G82"/>
    <mergeCell ref="A87:B87"/>
    <mergeCell ref="F51:G51"/>
    <mergeCell ref="A68:G68"/>
    <mergeCell ref="F69:G69"/>
    <mergeCell ref="A76:C76"/>
    <mergeCell ref="A39:C39"/>
    <mergeCell ref="A41:H41"/>
    <mergeCell ref="A48:C48"/>
    <mergeCell ref="A50:G50"/>
  </mergeCells>
  <printOptions/>
  <pageMargins left="0.34" right="0.3" top="0.53" bottom="0.56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58">
      <selection activeCell="F11" sqref="F11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4" t="s">
        <v>0</v>
      </c>
      <c r="B1" s="204"/>
      <c r="C1" s="1" t="s">
        <v>209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4" t="s">
        <v>8</v>
      </c>
      <c r="B3" s="204"/>
      <c r="C3" s="204"/>
      <c r="D3" s="204"/>
      <c r="E3" s="204"/>
      <c r="F3" s="3" t="s">
        <v>162</v>
      </c>
      <c r="G3" s="1"/>
    </row>
    <row r="4" s="2" customFormat="1" ht="15">
      <c r="A4" s="53"/>
    </row>
    <row r="5" spans="1:8" s="2" customFormat="1" ht="18.75">
      <c r="A5" s="205" t="s">
        <v>184</v>
      </c>
      <c r="B5" s="205"/>
      <c r="C5" s="205"/>
      <c r="D5" s="205"/>
      <c r="E5" s="205"/>
      <c r="F5" s="205"/>
      <c r="G5" s="205"/>
      <c r="H5" s="205"/>
    </row>
    <row r="6" spans="1:8" s="2" customFormat="1" ht="15">
      <c r="A6" s="215" t="s">
        <v>149</v>
      </c>
      <c r="B6" s="215"/>
      <c r="C6" s="215"/>
      <c r="D6" s="215"/>
      <c r="E6" s="215"/>
      <c r="F6" s="215"/>
      <c r="G6" s="215"/>
      <c r="H6" s="215"/>
    </row>
    <row r="7" spans="1:6" s="2" customFormat="1" ht="15">
      <c r="A7" s="53"/>
      <c r="B7" s="4" t="s">
        <v>2</v>
      </c>
      <c r="C7" s="4"/>
      <c r="D7" s="5" t="s">
        <v>185</v>
      </c>
      <c r="E7" s="4"/>
      <c r="F7" s="4"/>
    </row>
    <row r="8" s="2" customFormat="1" ht="7.5" customHeight="1">
      <c r="A8" s="53"/>
    </row>
    <row r="9" spans="1:9" s="2" customFormat="1" ht="15">
      <c r="A9" s="149" t="s">
        <v>23</v>
      </c>
      <c r="B9" s="149"/>
      <c r="C9" s="149"/>
      <c r="D9" s="149"/>
      <c r="E9" s="149"/>
      <c r="F9" s="149"/>
      <c r="G9" s="149"/>
      <c r="H9" s="7">
        <v>12565.6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42704.33</v>
      </c>
      <c r="F11" s="23">
        <v>5143.48</v>
      </c>
      <c r="G11" s="23">
        <f aca="true" t="shared" si="0" ref="G11:G23">E11+F11</f>
        <v>47847.81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9817.08</v>
      </c>
      <c r="F12" s="23">
        <v>407</v>
      </c>
      <c r="G12" s="23">
        <f t="shared" si="0"/>
        <v>10224.08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6" t="s">
        <v>129</v>
      </c>
      <c r="C14" s="159"/>
      <c r="D14" s="159"/>
      <c r="E14" s="159"/>
      <c r="F14" s="159">
        <v>430.7</v>
      </c>
      <c r="G14" s="23">
        <f t="shared" si="0"/>
        <v>430.7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46428.48</v>
      </c>
      <c r="F15" s="23"/>
      <c r="G15" s="23">
        <f t="shared" si="0"/>
        <v>46428.48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26654.9</v>
      </c>
      <c r="F16" s="23"/>
      <c r="G16" s="23">
        <f t="shared" si="0"/>
        <v>26654.9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931.8</v>
      </c>
      <c r="F17" s="23"/>
      <c r="G17" s="23">
        <f t="shared" si="0"/>
        <v>931.8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>
        <v>1254.07</v>
      </c>
      <c r="F18" s="23"/>
      <c r="G18" s="23">
        <f t="shared" si="0"/>
        <v>1254.07</v>
      </c>
      <c r="H18" s="19"/>
    </row>
    <row r="19" spans="1:8" s="2" customFormat="1" ht="15">
      <c r="A19" s="17" t="s">
        <v>134</v>
      </c>
      <c r="B19" s="18" t="s">
        <v>50</v>
      </c>
      <c r="C19" s="15" t="s">
        <v>16</v>
      </c>
      <c r="D19" s="19">
        <v>1</v>
      </c>
      <c r="E19" s="23">
        <v>5950</v>
      </c>
      <c r="F19" s="23"/>
      <c r="G19" s="23">
        <f t="shared" si="0"/>
        <v>5950</v>
      </c>
      <c r="H19" s="19"/>
    </row>
    <row r="20" spans="1:8" s="2" customFormat="1" ht="15">
      <c r="A20" s="17" t="s">
        <v>135</v>
      </c>
      <c r="B20" s="33" t="s">
        <v>103</v>
      </c>
      <c r="C20" s="15" t="s">
        <v>16</v>
      </c>
      <c r="D20" s="19">
        <v>1</v>
      </c>
      <c r="E20" s="23">
        <v>2549.36</v>
      </c>
      <c r="F20" s="23"/>
      <c r="G20" s="23">
        <f t="shared" si="0"/>
        <v>2549.36</v>
      </c>
      <c r="H20" s="19"/>
    </row>
    <row r="21" spans="1:8" s="2" customFormat="1" ht="15">
      <c r="A21" s="17" t="s">
        <v>186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187</v>
      </c>
      <c r="B22" s="33" t="s">
        <v>107</v>
      </c>
      <c r="C22" s="15" t="s">
        <v>16</v>
      </c>
      <c r="D22" s="19">
        <v>1</v>
      </c>
      <c r="E22" s="23">
        <v>1719.91</v>
      </c>
      <c r="F22" s="23"/>
      <c r="G22" s="23">
        <f t="shared" si="0"/>
        <v>1719.91</v>
      </c>
      <c r="H22" s="19"/>
    </row>
    <row r="23" spans="1:8" s="2" customFormat="1" ht="15">
      <c r="A23" s="17" t="s">
        <v>188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10" s="2" customFormat="1" ht="15">
      <c r="A24" s="17" t="s">
        <v>189</v>
      </c>
      <c r="B24" s="18" t="s">
        <v>48</v>
      </c>
      <c r="C24" s="15"/>
      <c r="D24" s="19"/>
      <c r="E24" s="23">
        <f>E25+E26+E27</f>
        <v>0</v>
      </c>
      <c r="F24" s="23">
        <f>F25+F26</f>
        <v>0</v>
      </c>
      <c r="G24" s="23">
        <f>G25+G26+G27</f>
        <v>0</v>
      </c>
      <c r="H24" s="19"/>
      <c r="J24" s="2" t="s">
        <v>95</v>
      </c>
    </row>
    <row r="25" spans="1:8" s="4" customFormat="1" ht="15">
      <c r="A25" s="55"/>
      <c r="B25" s="34"/>
      <c r="C25" s="161"/>
      <c r="D25" s="35"/>
      <c r="E25" s="36"/>
      <c r="F25" s="36"/>
      <c r="G25" s="36"/>
      <c r="H25" s="35"/>
    </row>
    <row r="26" spans="1:8" s="4" customFormat="1" ht="15">
      <c r="A26" s="55"/>
      <c r="B26" s="34"/>
      <c r="C26" s="161"/>
      <c r="D26" s="35"/>
      <c r="E26" s="162"/>
      <c r="F26" s="36"/>
      <c r="G26" s="36"/>
      <c r="H26" s="35"/>
    </row>
    <row r="27" spans="1:8" s="4" customFormat="1" ht="15">
      <c r="A27" s="193"/>
      <c r="B27" s="194"/>
      <c r="C27" s="195"/>
      <c r="D27" s="35"/>
      <c r="E27" s="162"/>
      <c r="F27" s="36"/>
      <c r="G27" s="36"/>
      <c r="H27" s="35"/>
    </row>
    <row r="28" spans="1:8" s="2" customFormat="1" ht="17.25" customHeight="1">
      <c r="A28" s="61" t="s">
        <v>33</v>
      </c>
      <c r="B28" s="62"/>
      <c r="C28" s="170"/>
      <c r="D28" s="135"/>
      <c r="E28" s="171">
        <f>E11+E12+E13+E14+E15+E16+E17+E18+E19+E24+E20+E21+E22+E23</f>
        <v>138009.93000000002</v>
      </c>
      <c r="F28" s="171">
        <f>F11+F12+F13+F14+F15+F16+F17+F18+F19+F24+F20+F21+F22+F23</f>
        <v>5981.179999999999</v>
      </c>
      <c r="G28" s="171">
        <f>G11+G12+G13+G14+G15+G16+G17+G18+G19+G24+G20+G21+G22+G23</f>
        <v>143991.11</v>
      </c>
      <c r="H28" s="41"/>
    </row>
    <row r="29" s="2" customFormat="1" ht="8.25" customHeight="1">
      <c r="A29" s="53"/>
    </row>
    <row r="30" spans="1:8" s="2" customFormat="1" ht="15">
      <c r="A30" s="149" t="s">
        <v>32</v>
      </c>
      <c r="B30" s="149"/>
      <c r="C30" s="149"/>
      <c r="D30" s="149"/>
      <c r="E30" s="149"/>
      <c r="F30" s="149"/>
      <c r="G30" s="149"/>
      <c r="H30" s="149"/>
    </row>
    <row r="31" spans="1:8" s="2" customFormat="1" ht="36.75" customHeight="1">
      <c r="A31" s="17" t="s">
        <v>3</v>
      </c>
      <c r="B31" s="15" t="s">
        <v>40</v>
      </c>
      <c r="C31" s="15" t="s">
        <v>5</v>
      </c>
      <c r="D31" s="15" t="s">
        <v>6</v>
      </c>
      <c r="E31" s="16" t="s">
        <v>17</v>
      </c>
      <c r="F31" s="16" t="s">
        <v>39</v>
      </c>
      <c r="G31" s="15" t="s">
        <v>18</v>
      </c>
      <c r="H31" s="15" t="s">
        <v>7</v>
      </c>
    </row>
    <row r="32" spans="1:8" s="2" customFormat="1" ht="25.5" customHeight="1">
      <c r="A32" s="17" t="s">
        <v>34</v>
      </c>
      <c r="B32" s="18" t="s">
        <v>150</v>
      </c>
      <c r="C32" s="15" t="s">
        <v>16</v>
      </c>
      <c r="D32" s="19">
        <v>1</v>
      </c>
      <c r="E32" s="23">
        <v>42939.01</v>
      </c>
      <c r="F32" s="23">
        <v>12407</v>
      </c>
      <c r="G32" s="23">
        <f aca="true" t="shared" si="1" ref="G32:G38">E32+F32</f>
        <v>55346.01</v>
      </c>
      <c r="H32" s="19"/>
    </row>
    <row r="33" spans="1:8" s="2" customFormat="1" ht="26.25" customHeight="1">
      <c r="A33" s="17" t="s">
        <v>35</v>
      </c>
      <c r="B33" s="18" t="s">
        <v>151</v>
      </c>
      <c r="C33" s="15" t="s">
        <v>16</v>
      </c>
      <c r="D33" s="19">
        <v>1</v>
      </c>
      <c r="E33" s="23">
        <v>7556.8</v>
      </c>
      <c r="F33" s="23">
        <v>199.8</v>
      </c>
      <c r="G33" s="23">
        <f t="shared" si="1"/>
        <v>7756.6</v>
      </c>
      <c r="H33" s="19"/>
    </row>
    <row r="34" spans="1:8" s="2" customFormat="1" ht="15">
      <c r="A34" s="17" t="s">
        <v>36</v>
      </c>
      <c r="B34" s="156" t="s">
        <v>129</v>
      </c>
      <c r="C34" s="15"/>
      <c r="D34" s="19"/>
      <c r="E34" s="23"/>
      <c r="F34" s="23">
        <v>40</v>
      </c>
      <c r="G34" s="23">
        <f t="shared" si="1"/>
        <v>40</v>
      </c>
      <c r="H34" s="19"/>
    </row>
    <row r="35" spans="1:8" s="2" customFormat="1" ht="15">
      <c r="A35" s="17" t="s">
        <v>37</v>
      </c>
      <c r="B35" s="18" t="s">
        <v>51</v>
      </c>
      <c r="C35" s="15" t="s">
        <v>16</v>
      </c>
      <c r="D35" s="19">
        <v>1</v>
      </c>
      <c r="E35" s="23">
        <v>4384.96</v>
      </c>
      <c r="F35" s="23"/>
      <c r="G35" s="23">
        <f t="shared" si="1"/>
        <v>4384.96</v>
      </c>
      <c r="H35" s="19"/>
    </row>
    <row r="36" spans="1:8" s="2" customFormat="1" ht="15">
      <c r="A36" s="17" t="s">
        <v>137</v>
      </c>
      <c r="B36" s="18" t="s">
        <v>48</v>
      </c>
      <c r="C36" s="15" t="s">
        <v>9</v>
      </c>
      <c r="D36" s="19">
        <v>1</v>
      </c>
      <c r="E36" s="23">
        <f>E37+E38</f>
        <v>0</v>
      </c>
      <c r="F36" s="23">
        <f>F37+F38</f>
        <v>0</v>
      </c>
      <c r="G36" s="23">
        <f t="shared" si="1"/>
        <v>0</v>
      </c>
      <c r="H36" s="19"/>
    </row>
    <row r="37" spans="1:8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</row>
    <row r="38" spans="1:9" s="4" customFormat="1" ht="15">
      <c r="A38" s="55"/>
      <c r="B38" s="34"/>
      <c r="C38" s="161"/>
      <c r="D38" s="35"/>
      <c r="E38" s="36"/>
      <c r="F38" s="36"/>
      <c r="G38" s="36">
        <f t="shared" si="1"/>
        <v>0</v>
      </c>
      <c r="H38" s="35"/>
      <c r="I38" s="4" t="s">
        <v>95</v>
      </c>
    </row>
    <row r="39" spans="1:8" s="2" customFormat="1" ht="15">
      <c r="A39" s="231" t="s">
        <v>10</v>
      </c>
      <c r="B39" s="232"/>
      <c r="C39" s="203"/>
      <c r="D39" s="41"/>
      <c r="E39" s="171">
        <f>E32+E33+E34+E35+E36</f>
        <v>54880.770000000004</v>
      </c>
      <c r="F39" s="171">
        <f>F32+F33+F34+F35+F36</f>
        <v>12646.8</v>
      </c>
      <c r="G39" s="171">
        <f>G32+G33+G34+G35+G36</f>
        <v>67527.57</v>
      </c>
      <c r="H39" s="41"/>
    </row>
    <row r="40" s="2" customFormat="1" ht="9.75" customHeight="1">
      <c r="A40" s="53"/>
    </row>
    <row r="41" spans="1:8" s="2" customFormat="1" ht="15">
      <c r="A41" s="220" t="s">
        <v>38</v>
      </c>
      <c r="B41" s="220"/>
      <c r="C41" s="220"/>
      <c r="D41" s="220"/>
      <c r="E41" s="220"/>
      <c r="F41" s="220"/>
      <c r="G41" s="220"/>
      <c r="H41" s="220"/>
    </row>
    <row r="42" spans="1:8" s="2" customFormat="1" ht="36" customHeight="1">
      <c r="A42" s="17" t="s">
        <v>3</v>
      </c>
      <c r="B42" s="15" t="s">
        <v>40</v>
      </c>
      <c r="C42" s="15" t="s">
        <v>5</v>
      </c>
      <c r="D42" s="15" t="s">
        <v>6</v>
      </c>
      <c r="E42" s="16" t="s">
        <v>17</v>
      </c>
      <c r="F42" s="16" t="s">
        <v>39</v>
      </c>
      <c r="G42" s="15" t="s">
        <v>18</v>
      </c>
      <c r="H42" s="15" t="s">
        <v>7</v>
      </c>
    </row>
    <row r="43" spans="1:8" s="2" customFormat="1" ht="26.25" customHeight="1">
      <c r="A43" s="17" t="s">
        <v>42</v>
      </c>
      <c r="B43" s="18" t="s">
        <v>153</v>
      </c>
      <c r="C43" s="15" t="s">
        <v>16</v>
      </c>
      <c r="D43" s="15">
        <v>1</v>
      </c>
      <c r="E43" s="25">
        <v>3980.03</v>
      </c>
      <c r="F43" s="25">
        <v>10167.6</v>
      </c>
      <c r="G43" s="26">
        <f>E43+F43</f>
        <v>14147.630000000001</v>
      </c>
      <c r="H43" s="19"/>
    </row>
    <row r="44" spans="1:8" s="2" customFormat="1" ht="15">
      <c r="A44" s="17"/>
      <c r="B44" s="156" t="s">
        <v>129</v>
      </c>
      <c r="C44" s="15"/>
      <c r="D44" s="15"/>
      <c r="E44" s="25"/>
      <c r="F44" s="25"/>
      <c r="G44" s="26">
        <f>E44+F44</f>
        <v>0</v>
      </c>
      <c r="H44" s="19"/>
    </row>
    <row r="45" spans="1:8" s="2" customFormat="1" ht="15">
      <c r="A45" s="17" t="s">
        <v>43</v>
      </c>
      <c r="B45" s="18" t="s">
        <v>48</v>
      </c>
      <c r="C45" s="15"/>
      <c r="D45" s="15"/>
      <c r="E45" s="25"/>
      <c r="F45" s="25"/>
      <c r="G45" s="26">
        <f>E45+F45</f>
        <v>0</v>
      </c>
      <c r="H45" s="19"/>
    </row>
    <row r="46" spans="1:11" s="2" customFormat="1" ht="15">
      <c r="A46" s="17"/>
      <c r="B46" s="18"/>
      <c r="C46" s="15"/>
      <c r="D46" s="19"/>
      <c r="E46" s="23"/>
      <c r="F46" s="26"/>
      <c r="G46" s="37">
        <f>E46+F46</f>
        <v>0</v>
      </c>
      <c r="H46" s="19"/>
      <c r="K46" s="12">
        <f>F28+F39+F48</f>
        <v>28795.58</v>
      </c>
    </row>
    <row r="47" spans="1:8" s="2" customFormat="1" ht="15">
      <c r="A47" s="17"/>
      <c r="B47" s="18"/>
      <c r="C47" s="19"/>
      <c r="D47" s="19"/>
      <c r="E47" s="23"/>
      <c r="F47" s="26"/>
      <c r="G47" s="37">
        <f>E47+F47</f>
        <v>0</v>
      </c>
      <c r="H47" s="19"/>
    </row>
    <row r="48" spans="1:8" s="2" customFormat="1" ht="15">
      <c r="A48" s="228" t="s">
        <v>41</v>
      </c>
      <c r="B48" s="229"/>
      <c r="C48" s="230"/>
      <c r="D48" s="41"/>
      <c r="E48" s="42">
        <f>SUM(E43:E47)</f>
        <v>3980.03</v>
      </c>
      <c r="F48" s="44">
        <f>SUM(F43:F45)</f>
        <v>10167.6</v>
      </c>
      <c r="G48" s="42">
        <f>SUM(G43:G47)</f>
        <v>14147.630000000001</v>
      </c>
      <c r="H48" s="41"/>
    </row>
    <row r="49" spans="1:8" s="2" customFormat="1" ht="7.5" customHeight="1">
      <c r="A49" s="54"/>
      <c r="B49" s="8"/>
      <c r="C49" s="8"/>
      <c r="D49" s="9"/>
      <c r="E49" s="9"/>
      <c r="F49" s="10"/>
      <c r="G49" s="9"/>
      <c r="H49" s="11"/>
    </row>
    <row r="50" spans="1:8" s="7" customFormat="1" ht="15" customHeight="1">
      <c r="A50" s="220" t="s">
        <v>154</v>
      </c>
      <c r="B50" s="220"/>
      <c r="C50" s="220"/>
      <c r="D50" s="220"/>
      <c r="E50" s="220"/>
      <c r="F50" s="220"/>
      <c r="G50" s="220"/>
      <c r="H50" s="58"/>
    </row>
    <row r="51" spans="1:7" s="2" customFormat="1" ht="24.75">
      <c r="A51" s="17" t="s">
        <v>3</v>
      </c>
      <c r="B51" s="15" t="s">
        <v>4</v>
      </c>
      <c r="C51" s="15" t="s">
        <v>5</v>
      </c>
      <c r="D51" s="15" t="s">
        <v>6</v>
      </c>
      <c r="E51" s="16" t="s">
        <v>45</v>
      </c>
      <c r="F51" s="221" t="s">
        <v>46</v>
      </c>
      <c r="G51" s="222"/>
    </row>
    <row r="52" spans="1:7" s="2" customFormat="1" ht="25.5" customHeight="1">
      <c r="A52" s="17" t="s">
        <v>65</v>
      </c>
      <c r="B52" s="27" t="s">
        <v>152</v>
      </c>
      <c r="C52" s="29" t="s">
        <v>16</v>
      </c>
      <c r="D52" s="28">
        <v>1</v>
      </c>
      <c r="E52" s="30">
        <v>28574.17</v>
      </c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16</v>
      </c>
      <c r="D53" s="28">
        <v>1</v>
      </c>
      <c r="E53" s="30">
        <v>5026.24</v>
      </c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16</v>
      </c>
      <c r="D54" s="28">
        <v>1</v>
      </c>
      <c r="E54" s="30">
        <v>2638.78</v>
      </c>
      <c r="F54" s="30"/>
      <c r="G54" s="30"/>
    </row>
    <row r="55" spans="1:7" s="2" customFormat="1" ht="15">
      <c r="A55" s="17" t="s">
        <v>68</v>
      </c>
      <c r="B55" s="28" t="s">
        <v>54</v>
      </c>
      <c r="C55" s="29" t="s">
        <v>16</v>
      </c>
      <c r="D55" s="28">
        <v>1</v>
      </c>
      <c r="E55" s="30">
        <v>5672.75</v>
      </c>
      <c r="F55" s="30"/>
      <c r="G55" s="30"/>
    </row>
    <row r="56" spans="1:7" s="2" customFormat="1" ht="15">
      <c r="A56" s="17" t="s">
        <v>70</v>
      </c>
      <c r="B56" s="18" t="s">
        <v>73</v>
      </c>
      <c r="C56" s="29" t="s">
        <v>16</v>
      </c>
      <c r="D56" s="28">
        <v>1</v>
      </c>
      <c r="E56" s="30">
        <f>E57+E58+E59+E60+E61+E62+E63+E64+E65</f>
        <v>7783.96</v>
      </c>
      <c r="F56" s="30"/>
      <c r="G56" s="30"/>
    </row>
    <row r="57" spans="1:7" s="4" customFormat="1" ht="15">
      <c r="A57" s="55"/>
      <c r="B57" s="34" t="s">
        <v>62</v>
      </c>
      <c r="C57" s="29" t="s">
        <v>16</v>
      </c>
      <c r="D57" s="28">
        <v>1</v>
      </c>
      <c r="E57" s="36">
        <v>1226.91</v>
      </c>
      <c r="F57" s="37"/>
      <c r="G57" s="36"/>
    </row>
    <row r="58" spans="1:11" s="4" customFormat="1" ht="15">
      <c r="A58" s="55"/>
      <c r="B58" s="34" t="s">
        <v>63</v>
      </c>
      <c r="C58" s="29" t="s">
        <v>16</v>
      </c>
      <c r="D58" s="28">
        <v>1</v>
      </c>
      <c r="E58" s="36">
        <v>791.22</v>
      </c>
      <c r="F58" s="37"/>
      <c r="G58" s="36"/>
      <c r="J58" s="38"/>
      <c r="K58" s="39"/>
    </row>
    <row r="59" spans="1:7" s="4" customFormat="1" ht="24.75">
      <c r="A59" s="55"/>
      <c r="B59" s="34" t="s">
        <v>64</v>
      </c>
      <c r="C59" s="29" t="s">
        <v>16</v>
      </c>
      <c r="D59" s="28">
        <v>1</v>
      </c>
      <c r="E59" s="36">
        <f>686.82+1499.28</f>
        <v>2186.1</v>
      </c>
      <c r="F59" s="37"/>
      <c r="G59" s="36"/>
    </row>
    <row r="60" spans="1:7" s="4" customFormat="1" ht="15">
      <c r="A60" s="55"/>
      <c r="B60" s="34" t="s">
        <v>69</v>
      </c>
      <c r="C60" s="29" t="s">
        <v>16</v>
      </c>
      <c r="D60" s="28">
        <v>1</v>
      </c>
      <c r="E60" s="35">
        <v>1992.11</v>
      </c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72</v>
      </c>
      <c r="C62" s="29" t="s">
        <v>16</v>
      </c>
      <c r="D62" s="28">
        <v>1</v>
      </c>
      <c r="E62" s="35">
        <v>1518.31</v>
      </c>
      <c r="F62" s="40"/>
      <c r="G62" s="35"/>
    </row>
    <row r="63" spans="1:7" s="4" customFormat="1" ht="15">
      <c r="A63" s="55"/>
      <c r="B63" s="34" t="s">
        <v>75</v>
      </c>
      <c r="C63" s="29" t="s">
        <v>16</v>
      </c>
      <c r="D63" s="28">
        <v>1</v>
      </c>
      <c r="E63" s="35">
        <v>69.31</v>
      </c>
      <c r="F63" s="40"/>
      <c r="G63" s="35"/>
    </row>
    <row r="64" spans="1:7" s="4" customFormat="1" ht="15">
      <c r="A64" s="55"/>
      <c r="B64" s="34" t="s">
        <v>76</v>
      </c>
      <c r="C64" s="29" t="s">
        <v>16</v>
      </c>
      <c r="D64" s="28">
        <v>1</v>
      </c>
      <c r="E64" s="35"/>
      <c r="F64" s="40"/>
      <c r="G64" s="35"/>
    </row>
    <row r="65" spans="1:9" s="4" customFormat="1" ht="15">
      <c r="A65" s="55"/>
      <c r="B65" s="34"/>
      <c r="C65" s="35"/>
      <c r="D65" s="35"/>
      <c r="E65" s="35"/>
      <c r="F65" s="40"/>
      <c r="G65" s="35"/>
      <c r="I65" s="39"/>
    </row>
    <row r="66" spans="1:7" s="2" customFormat="1" ht="15">
      <c r="A66" s="180" t="s">
        <v>155</v>
      </c>
      <c r="B66" s="181"/>
      <c r="C66" s="182"/>
      <c r="D66" s="41"/>
      <c r="E66" s="42">
        <f>E52+E53+E54+E55+E56</f>
        <v>49695.899999999994</v>
      </c>
      <c r="F66" s="43"/>
      <c r="G66" s="41"/>
    </row>
    <row r="67" spans="1:7" s="52" customFormat="1" ht="25.5">
      <c r="A67" s="56" t="s">
        <v>156</v>
      </c>
      <c r="B67" s="47" t="s">
        <v>55</v>
      </c>
      <c r="C67" s="48" t="s">
        <v>16</v>
      </c>
      <c r="D67" s="49">
        <v>1</v>
      </c>
      <c r="E67" s="51">
        <v>6348.36</v>
      </c>
      <c r="F67" s="50"/>
      <c r="G67" s="51"/>
    </row>
    <row r="68" spans="1:7" s="46" customFormat="1" ht="15" customHeight="1">
      <c r="A68" s="223" t="s">
        <v>157</v>
      </c>
      <c r="B68" s="224"/>
      <c r="C68" s="224"/>
      <c r="D68" s="224"/>
      <c r="E68" s="224"/>
      <c r="F68" s="224"/>
      <c r="G68" s="225"/>
    </row>
    <row r="69" spans="1:7" s="2" customFormat="1" ht="33.75" customHeight="1">
      <c r="A69" s="17" t="s">
        <v>3</v>
      </c>
      <c r="B69" s="15" t="s">
        <v>4</v>
      </c>
      <c r="C69" s="15" t="s">
        <v>5</v>
      </c>
      <c r="D69" s="15" t="s">
        <v>6</v>
      </c>
      <c r="E69" s="16" t="s">
        <v>45</v>
      </c>
      <c r="F69" s="221" t="s">
        <v>46</v>
      </c>
      <c r="G69" s="222"/>
    </row>
    <row r="70" spans="1:7" s="2" customFormat="1" ht="25.5" customHeight="1">
      <c r="A70" s="17"/>
      <c r="B70" s="33" t="s">
        <v>56</v>
      </c>
      <c r="C70" s="29" t="s">
        <v>16</v>
      </c>
      <c r="D70" s="28">
        <v>1</v>
      </c>
      <c r="E70" s="30">
        <v>76228.8</v>
      </c>
      <c r="F70" s="30"/>
      <c r="G70" s="30"/>
    </row>
    <row r="71" spans="1:7" s="2" customFormat="1" ht="15">
      <c r="A71" s="17"/>
      <c r="B71" s="33" t="s">
        <v>57</v>
      </c>
      <c r="C71" s="29" t="s">
        <v>16</v>
      </c>
      <c r="D71" s="28">
        <v>1</v>
      </c>
      <c r="E71" s="30">
        <v>219558.57</v>
      </c>
      <c r="F71" s="30"/>
      <c r="G71" s="30"/>
    </row>
    <row r="72" spans="1:9" s="2" customFormat="1" ht="15">
      <c r="A72" s="17"/>
      <c r="B72" s="33" t="s">
        <v>58</v>
      </c>
      <c r="C72" s="29" t="s">
        <v>16</v>
      </c>
      <c r="D72" s="28">
        <v>1</v>
      </c>
      <c r="E72" s="30">
        <v>35539.99</v>
      </c>
      <c r="F72" s="30"/>
      <c r="G72" s="30"/>
      <c r="I72" s="13">
        <f>E72+E71</f>
        <v>255098.56</v>
      </c>
    </row>
    <row r="73" spans="1:7" s="2" customFormat="1" ht="15">
      <c r="A73" s="17"/>
      <c r="B73" s="33" t="s">
        <v>59</v>
      </c>
      <c r="C73" s="29" t="s">
        <v>16</v>
      </c>
      <c r="D73" s="28">
        <v>1</v>
      </c>
      <c r="E73" s="30">
        <v>21339.54</v>
      </c>
      <c r="F73" s="30"/>
      <c r="G73" s="30"/>
    </row>
    <row r="74" spans="1:9" s="2" customFormat="1" ht="15">
      <c r="A74" s="17"/>
      <c r="B74" s="33" t="s">
        <v>60</v>
      </c>
      <c r="C74" s="29" t="s">
        <v>16</v>
      </c>
      <c r="D74" s="19">
        <v>1</v>
      </c>
      <c r="E74" s="30">
        <v>24867.35</v>
      </c>
      <c r="F74" s="26"/>
      <c r="G74" s="23"/>
      <c r="I74" s="13">
        <f>E73+E74</f>
        <v>46206.89</v>
      </c>
    </row>
    <row r="75" spans="1:7" s="2" customFormat="1" ht="15">
      <c r="A75" s="17"/>
      <c r="B75" s="18"/>
      <c r="C75" s="29"/>
      <c r="D75" s="28"/>
      <c r="E75" s="30"/>
      <c r="F75" s="30"/>
      <c r="G75" s="30"/>
    </row>
    <row r="76" spans="1:7" s="2" customFormat="1" ht="15">
      <c r="A76" s="216" t="s">
        <v>61</v>
      </c>
      <c r="B76" s="217"/>
      <c r="C76" s="218"/>
      <c r="D76" s="19"/>
      <c r="E76" s="30">
        <f>SUM(E70:E75)</f>
        <v>377534.24999999994</v>
      </c>
      <c r="F76" s="21"/>
      <c r="G76" s="19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pans="1:7" s="2" customFormat="1" ht="15">
      <c r="A80" s="54"/>
      <c r="B80" s="8"/>
      <c r="C80" s="8"/>
      <c r="D80" s="31"/>
      <c r="E80" s="45"/>
      <c r="F80" s="32"/>
      <c r="G80" s="31"/>
    </row>
    <row r="81" s="2" customFormat="1" ht="15">
      <c r="A81" s="53"/>
    </row>
    <row r="82" spans="1:7" s="2" customFormat="1" ht="15">
      <c r="A82" s="219" t="s">
        <v>11</v>
      </c>
      <c r="B82" s="219"/>
      <c r="C82" s="219"/>
      <c r="D82" s="219"/>
      <c r="E82" s="226">
        <f>G28+G39+G48+E66+E67+E76</f>
        <v>659244.8199999998</v>
      </c>
      <c r="F82" s="226"/>
      <c r="G82" s="226"/>
    </row>
    <row r="83" spans="1:7" s="2" customFormat="1" ht="15">
      <c r="A83" s="53"/>
      <c r="G83" s="13"/>
    </row>
    <row r="84" s="2" customFormat="1" ht="15">
      <c r="A84" s="53"/>
    </row>
    <row r="85" s="2" customFormat="1" ht="15">
      <c r="A85" s="53"/>
    </row>
    <row r="86" s="2" customFormat="1" ht="15">
      <c r="A86" s="53"/>
    </row>
    <row r="87" spans="1:5" s="2" customFormat="1" ht="15">
      <c r="A87" s="227" t="s">
        <v>47</v>
      </c>
      <c r="B87" s="227"/>
      <c r="E87" s="2" t="s">
        <v>12</v>
      </c>
    </row>
    <row r="88" spans="1:5" s="2" customFormat="1" ht="15">
      <c r="A88" s="227" t="s">
        <v>1</v>
      </c>
      <c r="B88" s="227"/>
      <c r="E88" s="2" t="s">
        <v>210</v>
      </c>
    </row>
    <row r="89" spans="1:5" s="2" customFormat="1" ht="30" customHeight="1">
      <c r="A89" s="215" t="s">
        <v>71</v>
      </c>
      <c r="B89" s="215"/>
      <c r="C89" s="22"/>
      <c r="E89" s="2" t="s">
        <v>211</v>
      </c>
    </row>
    <row r="90" s="2" customFormat="1" ht="15">
      <c r="A90" s="53"/>
    </row>
    <row r="91" s="2" customFormat="1" ht="15">
      <c r="A91" s="53"/>
    </row>
    <row r="92" s="2" customFormat="1" ht="15">
      <c r="A92" s="53"/>
    </row>
    <row r="93" s="2" customFormat="1" ht="15">
      <c r="A93" s="53"/>
    </row>
  </sheetData>
  <sheetProtection/>
  <mergeCells count="17">
    <mergeCell ref="A88:B88"/>
    <mergeCell ref="A89:B89"/>
    <mergeCell ref="A82:D82"/>
    <mergeCell ref="A1:B1"/>
    <mergeCell ref="A3:E3"/>
    <mergeCell ref="A5:H5"/>
    <mergeCell ref="A6:H6"/>
    <mergeCell ref="E82:G82"/>
    <mergeCell ref="A87:B87"/>
    <mergeCell ref="F51:G51"/>
    <mergeCell ref="A68:G68"/>
    <mergeCell ref="F69:G69"/>
    <mergeCell ref="A76:C76"/>
    <mergeCell ref="A39:C39"/>
    <mergeCell ref="A41:H41"/>
    <mergeCell ref="A48:C48"/>
    <mergeCell ref="A50:G50"/>
  </mergeCells>
  <printOptions/>
  <pageMargins left="0.44" right="0.3" top="0.38" bottom="0.61" header="0.27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64">
      <selection activeCell="E61" sqref="E61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4" t="s">
        <v>0</v>
      </c>
      <c r="B1" s="204"/>
      <c r="C1" s="1" t="s">
        <v>209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4" t="s">
        <v>8</v>
      </c>
      <c r="B3" s="204"/>
      <c r="C3" s="204"/>
      <c r="D3" s="204"/>
      <c r="E3" s="204"/>
      <c r="F3" s="3" t="s">
        <v>162</v>
      </c>
      <c r="G3" s="1"/>
    </row>
    <row r="4" s="2" customFormat="1" ht="15">
      <c r="A4" s="53"/>
    </row>
    <row r="5" spans="1:8" s="2" customFormat="1" ht="18.75">
      <c r="A5" s="205" t="s">
        <v>190</v>
      </c>
      <c r="B5" s="205"/>
      <c r="C5" s="205"/>
      <c r="D5" s="205"/>
      <c r="E5" s="205"/>
      <c r="F5" s="205"/>
      <c r="G5" s="205"/>
      <c r="H5" s="205"/>
    </row>
    <row r="6" spans="1:8" s="2" customFormat="1" ht="15">
      <c r="A6" s="215" t="s">
        <v>149</v>
      </c>
      <c r="B6" s="215"/>
      <c r="C6" s="215"/>
      <c r="D6" s="215"/>
      <c r="E6" s="215"/>
      <c r="F6" s="215"/>
      <c r="G6" s="215"/>
      <c r="H6" s="215"/>
    </row>
    <row r="7" spans="1:6" s="2" customFormat="1" ht="15">
      <c r="A7" s="53"/>
      <c r="B7" s="4" t="s">
        <v>2</v>
      </c>
      <c r="C7" s="4"/>
      <c r="D7" s="5" t="s">
        <v>191</v>
      </c>
      <c r="E7" s="4"/>
      <c r="F7" s="4"/>
    </row>
    <row r="8" s="2" customFormat="1" ht="7.5" customHeight="1">
      <c r="A8" s="53"/>
    </row>
    <row r="9" spans="1:9" s="2" customFormat="1" ht="15">
      <c r="A9" s="149" t="s">
        <v>23</v>
      </c>
      <c r="B9" s="149"/>
      <c r="C9" s="149"/>
      <c r="D9" s="149"/>
      <c r="E9" s="149"/>
      <c r="F9" s="149"/>
      <c r="G9" s="149"/>
      <c r="H9" s="7">
        <v>12565.6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48821.02</v>
      </c>
      <c r="F11" s="23"/>
      <c r="G11" s="23">
        <f aca="true" t="shared" si="0" ref="G11:G23">E11+F11</f>
        <v>48821.02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9817.1</v>
      </c>
      <c r="F12" s="23">
        <v>368</v>
      </c>
      <c r="G12" s="23">
        <f t="shared" si="0"/>
        <v>10185.1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6" t="s">
        <v>129</v>
      </c>
      <c r="C14" s="159"/>
      <c r="D14" s="159"/>
      <c r="E14" s="159"/>
      <c r="F14" s="159">
        <v>248</v>
      </c>
      <c r="G14" s="23">
        <f t="shared" si="0"/>
        <v>248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46428.48</v>
      </c>
      <c r="F15" s="23"/>
      <c r="G15" s="23">
        <f t="shared" si="0"/>
        <v>46428.48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26654.9</v>
      </c>
      <c r="F16" s="23"/>
      <c r="G16" s="23">
        <f t="shared" si="0"/>
        <v>26654.9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931.8</v>
      </c>
      <c r="F17" s="23"/>
      <c r="G17" s="23">
        <f t="shared" si="0"/>
        <v>931.8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>
        <f>2163.9+1848.82</f>
        <v>4012.7200000000003</v>
      </c>
      <c r="F18" s="23"/>
      <c r="G18" s="23">
        <f t="shared" si="0"/>
        <v>4012.7200000000003</v>
      </c>
      <c r="H18" s="19"/>
    </row>
    <row r="19" spans="1:8" s="2" customFormat="1" ht="15">
      <c r="A19" s="17" t="s">
        <v>134</v>
      </c>
      <c r="B19" s="18" t="s">
        <v>50</v>
      </c>
      <c r="C19" s="15" t="s">
        <v>16</v>
      </c>
      <c r="D19" s="19">
        <v>1</v>
      </c>
      <c r="E19" s="23">
        <v>5950</v>
      </c>
      <c r="F19" s="23"/>
      <c r="G19" s="23">
        <f t="shared" si="0"/>
        <v>5950</v>
      </c>
      <c r="H19" s="19"/>
    </row>
    <row r="20" spans="1:8" s="2" customFormat="1" ht="15">
      <c r="A20" s="17" t="s">
        <v>135</v>
      </c>
      <c r="B20" s="33" t="s">
        <v>103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186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187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188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10" s="2" customFormat="1" ht="15">
      <c r="A24" s="17" t="s">
        <v>189</v>
      </c>
      <c r="B24" s="18" t="s">
        <v>48</v>
      </c>
      <c r="C24" s="15"/>
      <c r="D24" s="19"/>
      <c r="E24" s="23">
        <f>E25+E26+E27</f>
        <v>0</v>
      </c>
      <c r="F24" s="23">
        <f>F25+F26</f>
        <v>0</v>
      </c>
      <c r="G24" s="23">
        <f>G25+G26+G27</f>
        <v>0</v>
      </c>
      <c r="H24" s="19"/>
      <c r="J24" s="2" t="s">
        <v>95</v>
      </c>
    </row>
    <row r="25" spans="1:8" s="4" customFormat="1" ht="15">
      <c r="A25" s="55"/>
      <c r="B25" s="34"/>
      <c r="C25" s="161"/>
      <c r="D25" s="35"/>
      <c r="E25" s="36"/>
      <c r="F25" s="36"/>
      <c r="G25" s="36"/>
      <c r="H25" s="35"/>
    </row>
    <row r="26" spans="1:8" s="4" customFormat="1" ht="15">
      <c r="A26" s="55"/>
      <c r="B26" s="34"/>
      <c r="C26" s="161"/>
      <c r="D26" s="35"/>
      <c r="E26" s="162"/>
      <c r="F26" s="36"/>
      <c r="G26" s="36"/>
      <c r="H26" s="35"/>
    </row>
    <row r="27" spans="1:8" s="4" customFormat="1" ht="15">
      <c r="A27" s="193"/>
      <c r="B27" s="194"/>
      <c r="C27" s="195"/>
      <c r="D27" s="35"/>
      <c r="E27" s="162"/>
      <c r="F27" s="36"/>
      <c r="G27" s="36"/>
      <c r="H27" s="35"/>
    </row>
    <row r="28" spans="1:8" s="2" customFormat="1" ht="17.25" customHeight="1">
      <c r="A28" s="61" t="s">
        <v>33</v>
      </c>
      <c r="B28" s="62"/>
      <c r="C28" s="170"/>
      <c r="D28" s="135"/>
      <c r="E28" s="171">
        <f>E11+E12+E13+E14+E15+E16+E17+E18+E19+E24+E20+E21+E22+E23</f>
        <v>142616.02</v>
      </c>
      <c r="F28" s="171">
        <f>F11+F12+F13+F14+F15+F16+F17+F18+F19+F24+F20+F21+F22+F23</f>
        <v>616</v>
      </c>
      <c r="G28" s="171">
        <f>G11+G12+G13+G14+G15+G16+G17+G18+G19+G24+G20+G21+G22+G23</f>
        <v>143232.02</v>
      </c>
      <c r="H28" s="41"/>
    </row>
    <row r="29" s="2" customFormat="1" ht="8.25" customHeight="1">
      <c r="A29" s="53"/>
    </row>
    <row r="30" spans="1:8" s="2" customFormat="1" ht="15">
      <c r="A30" s="149" t="s">
        <v>32</v>
      </c>
      <c r="B30" s="149"/>
      <c r="C30" s="149"/>
      <c r="D30" s="149"/>
      <c r="E30" s="149"/>
      <c r="F30" s="149"/>
      <c r="G30" s="149"/>
      <c r="H30" s="149"/>
    </row>
    <row r="31" spans="1:8" s="2" customFormat="1" ht="36.75" customHeight="1">
      <c r="A31" s="17" t="s">
        <v>3</v>
      </c>
      <c r="B31" s="15" t="s">
        <v>40</v>
      </c>
      <c r="C31" s="15" t="s">
        <v>5</v>
      </c>
      <c r="D31" s="15" t="s">
        <v>6</v>
      </c>
      <c r="E31" s="16" t="s">
        <v>17</v>
      </c>
      <c r="F31" s="16" t="s">
        <v>39</v>
      </c>
      <c r="G31" s="15" t="s">
        <v>18</v>
      </c>
      <c r="H31" s="15" t="s">
        <v>7</v>
      </c>
    </row>
    <row r="32" spans="1:8" s="2" customFormat="1" ht="25.5" customHeight="1">
      <c r="A32" s="17" t="s">
        <v>34</v>
      </c>
      <c r="B32" s="18" t="s">
        <v>150</v>
      </c>
      <c r="C32" s="15" t="s">
        <v>16</v>
      </c>
      <c r="D32" s="19">
        <v>1</v>
      </c>
      <c r="E32" s="23">
        <v>44210.52</v>
      </c>
      <c r="F32" s="23">
        <v>548</v>
      </c>
      <c r="G32" s="23">
        <f aca="true" t="shared" si="1" ref="G32:G38">E32+F32</f>
        <v>44758.52</v>
      </c>
      <c r="H32" s="19"/>
    </row>
    <row r="33" spans="1:8" s="2" customFormat="1" ht="26.25" customHeight="1">
      <c r="A33" s="17" t="s">
        <v>35</v>
      </c>
      <c r="B33" s="18" t="s">
        <v>151</v>
      </c>
      <c r="C33" s="15" t="s">
        <v>16</v>
      </c>
      <c r="D33" s="19">
        <v>1</v>
      </c>
      <c r="E33" s="23">
        <v>7699.27</v>
      </c>
      <c r="F33" s="23">
        <v>239.9</v>
      </c>
      <c r="G33" s="23">
        <f t="shared" si="1"/>
        <v>7939.17</v>
      </c>
      <c r="H33" s="19"/>
    </row>
    <row r="34" spans="1:8" s="2" customFormat="1" ht="15">
      <c r="A34" s="17" t="s">
        <v>36</v>
      </c>
      <c r="B34" s="156" t="s">
        <v>129</v>
      </c>
      <c r="C34" s="15"/>
      <c r="D34" s="19"/>
      <c r="E34" s="23"/>
      <c r="F34" s="23">
        <v>2939</v>
      </c>
      <c r="G34" s="23">
        <f t="shared" si="1"/>
        <v>2939</v>
      </c>
      <c r="H34" s="19"/>
    </row>
    <row r="35" spans="1:8" s="2" customFormat="1" ht="15">
      <c r="A35" s="17" t="s">
        <v>37</v>
      </c>
      <c r="B35" s="18" t="s">
        <v>51</v>
      </c>
      <c r="C35" s="15" t="s">
        <v>16</v>
      </c>
      <c r="D35" s="19">
        <v>1</v>
      </c>
      <c r="E35" s="23"/>
      <c r="F35" s="23"/>
      <c r="G35" s="23">
        <f t="shared" si="1"/>
        <v>0</v>
      </c>
      <c r="H35" s="19"/>
    </row>
    <row r="36" spans="1:8" s="2" customFormat="1" ht="15">
      <c r="A36" s="17" t="s">
        <v>137</v>
      </c>
      <c r="B36" s="18" t="s">
        <v>48</v>
      </c>
      <c r="C36" s="15" t="s">
        <v>9</v>
      </c>
      <c r="D36" s="19">
        <v>1</v>
      </c>
      <c r="E36" s="23">
        <f>E37+E38</f>
        <v>0</v>
      </c>
      <c r="F36" s="23">
        <f>F37+F38</f>
        <v>0</v>
      </c>
      <c r="G36" s="23">
        <f t="shared" si="1"/>
        <v>0</v>
      </c>
      <c r="H36" s="19"/>
    </row>
    <row r="37" spans="1:8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</row>
    <row r="38" spans="1:9" s="4" customFormat="1" ht="15">
      <c r="A38" s="55"/>
      <c r="B38" s="34"/>
      <c r="C38" s="161"/>
      <c r="D38" s="35"/>
      <c r="E38" s="36"/>
      <c r="F38" s="36"/>
      <c r="G38" s="36">
        <f t="shared" si="1"/>
        <v>0</v>
      </c>
      <c r="H38" s="35"/>
      <c r="I38" s="4" t="s">
        <v>95</v>
      </c>
    </row>
    <row r="39" spans="1:8" s="2" customFormat="1" ht="15">
      <c r="A39" s="231" t="s">
        <v>10</v>
      </c>
      <c r="B39" s="232"/>
      <c r="C39" s="203"/>
      <c r="D39" s="41"/>
      <c r="E39" s="171">
        <f>E32+E33+E34+E35+E36</f>
        <v>51909.78999999999</v>
      </c>
      <c r="F39" s="171">
        <f>F32+F33+F34+F35+F36</f>
        <v>3726.9</v>
      </c>
      <c r="G39" s="171">
        <f>G32+G33+G34+G35+G36</f>
        <v>55636.689999999995</v>
      </c>
      <c r="H39" s="41"/>
    </row>
    <row r="40" s="2" customFormat="1" ht="9.75" customHeight="1">
      <c r="A40" s="53"/>
    </row>
    <row r="41" spans="1:8" s="2" customFormat="1" ht="15">
      <c r="A41" s="220" t="s">
        <v>38</v>
      </c>
      <c r="B41" s="220"/>
      <c r="C41" s="220"/>
      <c r="D41" s="220"/>
      <c r="E41" s="220"/>
      <c r="F41" s="220"/>
      <c r="G41" s="220"/>
      <c r="H41" s="220"/>
    </row>
    <row r="42" spans="1:8" s="2" customFormat="1" ht="36" customHeight="1">
      <c r="A42" s="17" t="s">
        <v>3</v>
      </c>
      <c r="B42" s="15" t="s">
        <v>40</v>
      </c>
      <c r="C42" s="15" t="s">
        <v>5</v>
      </c>
      <c r="D42" s="15" t="s">
        <v>6</v>
      </c>
      <c r="E42" s="16" t="s">
        <v>17</v>
      </c>
      <c r="F42" s="16" t="s">
        <v>39</v>
      </c>
      <c r="G42" s="15" t="s">
        <v>18</v>
      </c>
      <c r="H42" s="15" t="s">
        <v>7</v>
      </c>
    </row>
    <row r="43" spans="1:8" s="2" customFormat="1" ht="26.25" customHeight="1">
      <c r="A43" s="17" t="s">
        <v>42</v>
      </c>
      <c r="B43" s="18" t="s">
        <v>153</v>
      </c>
      <c r="C43" s="15" t="s">
        <v>16</v>
      </c>
      <c r="D43" s="15">
        <v>1</v>
      </c>
      <c r="E43" s="25">
        <v>5293.34</v>
      </c>
      <c r="F43" s="25">
        <v>4648.2</v>
      </c>
      <c r="G43" s="26">
        <f>E43+F43</f>
        <v>9941.54</v>
      </c>
      <c r="H43" s="19"/>
    </row>
    <row r="44" spans="1:8" s="2" customFormat="1" ht="15">
      <c r="A44" s="17"/>
      <c r="B44" s="156" t="s">
        <v>129</v>
      </c>
      <c r="C44" s="15"/>
      <c r="D44" s="15"/>
      <c r="E44" s="25"/>
      <c r="F44" s="25"/>
      <c r="G44" s="26">
        <f>E44+F44</f>
        <v>0</v>
      </c>
      <c r="H44" s="19"/>
    </row>
    <row r="45" spans="1:8" s="2" customFormat="1" ht="15">
      <c r="A45" s="17" t="s">
        <v>43</v>
      </c>
      <c r="B45" s="18" t="s">
        <v>48</v>
      </c>
      <c r="C45" s="15"/>
      <c r="D45" s="15"/>
      <c r="E45" s="25"/>
      <c r="F45" s="25"/>
      <c r="G45" s="26">
        <f>E45+F45</f>
        <v>0</v>
      </c>
      <c r="H45" s="19"/>
    </row>
    <row r="46" spans="1:11" s="2" customFormat="1" ht="15">
      <c r="A46" s="17"/>
      <c r="B46" s="18" t="s">
        <v>168</v>
      </c>
      <c r="C46" s="15"/>
      <c r="D46" s="19"/>
      <c r="E46" s="23">
        <v>12300</v>
      </c>
      <c r="F46" s="26"/>
      <c r="G46" s="37">
        <f>E46+F46</f>
        <v>12300</v>
      </c>
      <c r="H46" s="19"/>
      <c r="K46" s="12">
        <f>F28+F39+F48</f>
        <v>8991.099999999999</v>
      </c>
    </row>
    <row r="47" spans="1:8" s="2" customFormat="1" ht="15">
      <c r="A47" s="17"/>
      <c r="B47" s="18"/>
      <c r="C47" s="19"/>
      <c r="D47" s="19"/>
      <c r="E47" s="23"/>
      <c r="F47" s="26"/>
      <c r="G47" s="37">
        <f>E47+F47</f>
        <v>0</v>
      </c>
      <c r="H47" s="19"/>
    </row>
    <row r="48" spans="1:8" s="2" customFormat="1" ht="15">
      <c r="A48" s="228" t="s">
        <v>41</v>
      </c>
      <c r="B48" s="229"/>
      <c r="C48" s="230"/>
      <c r="D48" s="41"/>
      <c r="E48" s="42">
        <f>SUM(E43:E47)</f>
        <v>17593.34</v>
      </c>
      <c r="F48" s="44">
        <f>SUM(F43:F45)</f>
        <v>4648.2</v>
      </c>
      <c r="G48" s="42">
        <f>SUM(G43:G47)</f>
        <v>22241.54</v>
      </c>
      <c r="H48" s="41"/>
    </row>
    <row r="49" spans="1:8" s="2" customFormat="1" ht="7.5" customHeight="1">
      <c r="A49" s="54"/>
      <c r="B49" s="8"/>
      <c r="C49" s="8"/>
      <c r="D49" s="9"/>
      <c r="E49" s="9"/>
      <c r="F49" s="10"/>
      <c r="G49" s="9"/>
      <c r="H49" s="11"/>
    </row>
    <row r="50" spans="1:8" s="7" customFormat="1" ht="15" customHeight="1">
      <c r="A50" s="220" t="s">
        <v>154</v>
      </c>
      <c r="B50" s="220"/>
      <c r="C50" s="220"/>
      <c r="D50" s="220"/>
      <c r="E50" s="220"/>
      <c r="F50" s="220"/>
      <c r="G50" s="220"/>
      <c r="H50" s="58"/>
    </row>
    <row r="51" spans="1:7" s="2" customFormat="1" ht="24.75">
      <c r="A51" s="17" t="s">
        <v>3</v>
      </c>
      <c r="B51" s="15" t="s">
        <v>4</v>
      </c>
      <c r="C51" s="15" t="s">
        <v>5</v>
      </c>
      <c r="D51" s="15" t="s">
        <v>6</v>
      </c>
      <c r="E51" s="16" t="s">
        <v>45</v>
      </c>
      <c r="F51" s="221" t="s">
        <v>46</v>
      </c>
      <c r="G51" s="222"/>
    </row>
    <row r="52" spans="1:7" s="2" customFormat="1" ht="25.5" customHeight="1">
      <c r="A52" s="17" t="s">
        <v>65</v>
      </c>
      <c r="B52" s="27" t="s">
        <v>152</v>
      </c>
      <c r="C52" s="29" t="s">
        <v>16</v>
      </c>
      <c r="D52" s="28">
        <v>1</v>
      </c>
      <c r="E52" s="30">
        <v>28574.17</v>
      </c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16</v>
      </c>
      <c r="D53" s="28">
        <v>1</v>
      </c>
      <c r="E53" s="30">
        <v>5026.24</v>
      </c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16</v>
      </c>
      <c r="D54" s="28">
        <v>1</v>
      </c>
      <c r="E54" s="30">
        <v>2638.78</v>
      </c>
      <c r="F54" s="30"/>
      <c r="G54" s="30"/>
    </row>
    <row r="55" spans="1:7" s="2" customFormat="1" ht="15">
      <c r="A55" s="17" t="s">
        <v>68</v>
      </c>
      <c r="B55" s="28" t="s">
        <v>54</v>
      </c>
      <c r="C55" s="29" t="s">
        <v>16</v>
      </c>
      <c r="D55" s="28">
        <v>1</v>
      </c>
      <c r="E55" s="30">
        <v>4369.43</v>
      </c>
      <c r="F55" s="30"/>
      <c r="G55" s="30"/>
    </row>
    <row r="56" spans="1:7" s="2" customFormat="1" ht="15">
      <c r="A56" s="17" t="s">
        <v>70</v>
      </c>
      <c r="B56" s="18" t="s">
        <v>73</v>
      </c>
      <c r="C56" s="29" t="s">
        <v>16</v>
      </c>
      <c r="D56" s="28">
        <v>1</v>
      </c>
      <c r="E56" s="30">
        <f>E57+E58+E59+E60+E61+E62+E63+E64+E65</f>
        <v>8661.26</v>
      </c>
      <c r="F56" s="30"/>
      <c r="G56" s="30"/>
    </row>
    <row r="57" spans="1:7" s="4" customFormat="1" ht="15">
      <c r="A57" s="55"/>
      <c r="B57" s="34" t="s">
        <v>62</v>
      </c>
      <c r="C57" s="29" t="s">
        <v>16</v>
      </c>
      <c r="D57" s="28">
        <v>1</v>
      </c>
      <c r="E57" s="36">
        <v>1918.1</v>
      </c>
      <c r="F57" s="37"/>
      <c r="G57" s="36"/>
    </row>
    <row r="58" spans="1:11" s="4" customFormat="1" ht="15">
      <c r="A58" s="55"/>
      <c r="B58" s="34" t="s">
        <v>63</v>
      </c>
      <c r="C58" s="29" t="s">
        <v>16</v>
      </c>
      <c r="D58" s="28">
        <v>1</v>
      </c>
      <c r="E58" s="36">
        <v>1282.73</v>
      </c>
      <c r="F58" s="37"/>
      <c r="G58" s="36"/>
      <c r="J58" s="38"/>
      <c r="K58" s="39"/>
    </row>
    <row r="59" spans="1:7" s="4" customFormat="1" ht="24.75">
      <c r="A59" s="55"/>
      <c r="B59" s="34" t="s">
        <v>64</v>
      </c>
      <c r="C59" s="29" t="s">
        <v>16</v>
      </c>
      <c r="D59" s="28">
        <v>1</v>
      </c>
      <c r="E59" s="36">
        <f>1499.28+549.46</f>
        <v>2048.74</v>
      </c>
      <c r="F59" s="37"/>
      <c r="G59" s="36"/>
    </row>
    <row r="60" spans="1:7" s="4" customFormat="1" ht="15">
      <c r="A60" s="55"/>
      <c r="B60" s="34" t="s">
        <v>69</v>
      </c>
      <c r="C60" s="29" t="s">
        <v>16</v>
      </c>
      <c r="D60" s="28">
        <v>1</v>
      </c>
      <c r="E60" s="35">
        <v>1992.11</v>
      </c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72</v>
      </c>
      <c r="C62" s="29" t="s">
        <v>16</v>
      </c>
      <c r="D62" s="28">
        <v>1</v>
      </c>
      <c r="E62" s="35">
        <v>1349.65</v>
      </c>
      <c r="F62" s="40"/>
      <c r="G62" s="35"/>
    </row>
    <row r="63" spans="1:7" s="4" customFormat="1" ht="15">
      <c r="A63" s="55"/>
      <c r="B63" s="34" t="s">
        <v>75</v>
      </c>
      <c r="C63" s="29" t="s">
        <v>16</v>
      </c>
      <c r="D63" s="28">
        <v>1</v>
      </c>
      <c r="E63" s="35">
        <v>69.93</v>
      </c>
      <c r="F63" s="40"/>
      <c r="G63" s="35"/>
    </row>
    <row r="64" spans="1:7" s="4" customFormat="1" ht="15">
      <c r="A64" s="55"/>
      <c r="B64" s="34" t="s">
        <v>76</v>
      </c>
      <c r="C64" s="29" t="s">
        <v>16</v>
      </c>
      <c r="D64" s="28">
        <v>1</v>
      </c>
      <c r="E64" s="35"/>
      <c r="F64" s="40"/>
      <c r="G64" s="35"/>
    </row>
    <row r="65" spans="1:9" s="4" customFormat="1" ht="15">
      <c r="A65" s="55"/>
      <c r="B65" s="34"/>
      <c r="C65" s="35"/>
      <c r="D65" s="35"/>
      <c r="E65" s="35"/>
      <c r="F65" s="40"/>
      <c r="G65" s="35"/>
      <c r="I65" s="39"/>
    </row>
    <row r="66" spans="1:7" s="2" customFormat="1" ht="15">
      <c r="A66" s="180" t="s">
        <v>155</v>
      </c>
      <c r="B66" s="181"/>
      <c r="C66" s="182"/>
      <c r="D66" s="41"/>
      <c r="E66" s="42">
        <f>E52+E53+E54+E55+E56</f>
        <v>49269.88</v>
      </c>
      <c r="F66" s="43"/>
      <c r="G66" s="41"/>
    </row>
    <row r="67" spans="1:7" s="52" customFormat="1" ht="25.5">
      <c r="A67" s="56" t="s">
        <v>156</v>
      </c>
      <c r="B67" s="47" t="s">
        <v>55</v>
      </c>
      <c r="C67" s="48" t="s">
        <v>16</v>
      </c>
      <c r="D67" s="49">
        <v>1</v>
      </c>
      <c r="E67" s="51">
        <v>6578.78</v>
      </c>
      <c r="F67" s="50"/>
      <c r="G67" s="51"/>
    </row>
    <row r="68" spans="1:7" s="46" customFormat="1" ht="15" customHeight="1">
      <c r="A68" s="223" t="s">
        <v>157</v>
      </c>
      <c r="B68" s="224"/>
      <c r="C68" s="224"/>
      <c r="D68" s="224"/>
      <c r="E68" s="224"/>
      <c r="F68" s="224"/>
      <c r="G68" s="225"/>
    </row>
    <row r="69" spans="1:7" s="2" customFormat="1" ht="33.75" customHeight="1">
      <c r="A69" s="17" t="s">
        <v>3</v>
      </c>
      <c r="B69" s="15" t="s">
        <v>4</v>
      </c>
      <c r="C69" s="15" t="s">
        <v>5</v>
      </c>
      <c r="D69" s="15" t="s">
        <v>6</v>
      </c>
      <c r="E69" s="16" t="s">
        <v>45</v>
      </c>
      <c r="F69" s="221" t="s">
        <v>46</v>
      </c>
      <c r="G69" s="222"/>
    </row>
    <row r="70" spans="1:7" s="2" customFormat="1" ht="25.5" customHeight="1">
      <c r="A70" s="17"/>
      <c r="B70" s="33" t="s">
        <v>56</v>
      </c>
      <c r="C70" s="29" t="s">
        <v>16</v>
      </c>
      <c r="D70" s="28">
        <v>1</v>
      </c>
      <c r="E70" s="30">
        <v>81401.96</v>
      </c>
      <c r="F70" s="30"/>
      <c r="G70" s="30"/>
    </row>
    <row r="71" spans="1:7" s="2" customFormat="1" ht="15">
      <c r="A71" s="17"/>
      <c r="B71" s="33" t="s">
        <v>57</v>
      </c>
      <c r="C71" s="29" t="s">
        <v>16</v>
      </c>
      <c r="D71" s="28">
        <v>1</v>
      </c>
      <c r="E71" s="30">
        <v>322370.02</v>
      </c>
      <c r="F71" s="30"/>
      <c r="G71" s="30"/>
    </row>
    <row r="72" spans="1:9" s="2" customFormat="1" ht="15">
      <c r="A72" s="17"/>
      <c r="B72" s="33" t="s">
        <v>58</v>
      </c>
      <c r="C72" s="29" t="s">
        <v>16</v>
      </c>
      <c r="D72" s="28">
        <v>1</v>
      </c>
      <c r="E72" s="30">
        <v>30856.51</v>
      </c>
      <c r="F72" s="30"/>
      <c r="G72" s="30"/>
      <c r="I72" s="13">
        <f>E72+E71</f>
        <v>353226.53</v>
      </c>
    </row>
    <row r="73" spans="1:7" s="2" customFormat="1" ht="15">
      <c r="A73" s="17"/>
      <c r="B73" s="33" t="s">
        <v>59</v>
      </c>
      <c r="C73" s="29" t="s">
        <v>16</v>
      </c>
      <c r="D73" s="28">
        <v>1</v>
      </c>
      <c r="E73" s="30">
        <v>26742.27</v>
      </c>
      <c r="F73" s="30"/>
      <c r="G73" s="30"/>
    </row>
    <row r="74" spans="1:9" s="2" customFormat="1" ht="15">
      <c r="A74" s="17"/>
      <c r="B74" s="33" t="s">
        <v>60</v>
      </c>
      <c r="C74" s="29" t="s">
        <v>16</v>
      </c>
      <c r="D74" s="19">
        <v>1</v>
      </c>
      <c r="E74" s="30">
        <v>25733.81</v>
      </c>
      <c r="F74" s="26"/>
      <c r="G74" s="23"/>
      <c r="I74" s="13">
        <f>E73+E74</f>
        <v>52476.08</v>
      </c>
    </row>
    <row r="75" spans="1:7" s="2" customFormat="1" ht="15">
      <c r="A75" s="17"/>
      <c r="B75" s="18"/>
      <c r="C75" s="29"/>
      <c r="D75" s="28"/>
      <c r="E75" s="30"/>
      <c r="F75" s="30"/>
      <c r="G75" s="30"/>
    </row>
    <row r="76" spans="1:7" s="2" customFormat="1" ht="15">
      <c r="A76" s="216" t="s">
        <v>61</v>
      </c>
      <c r="B76" s="217"/>
      <c r="C76" s="218"/>
      <c r="D76" s="19"/>
      <c r="E76" s="30">
        <f>SUM(E70:E75)</f>
        <v>487104.57000000007</v>
      </c>
      <c r="F76" s="21"/>
      <c r="G76" s="19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pans="1:7" s="2" customFormat="1" ht="15">
      <c r="A80" s="54"/>
      <c r="B80" s="8"/>
      <c r="C80" s="8"/>
      <c r="D80" s="31"/>
      <c r="E80" s="45"/>
      <c r="F80" s="32"/>
      <c r="G80" s="31"/>
    </row>
    <row r="81" s="2" customFormat="1" ht="15">
      <c r="A81" s="53"/>
    </row>
    <row r="82" spans="1:7" s="2" customFormat="1" ht="15">
      <c r="A82" s="219" t="s">
        <v>11</v>
      </c>
      <c r="B82" s="219"/>
      <c r="C82" s="219"/>
      <c r="D82" s="219"/>
      <c r="E82" s="226">
        <f>G28+G39+G48+E66+E67+E76</f>
        <v>764063.4800000001</v>
      </c>
      <c r="F82" s="226"/>
      <c r="G82" s="226"/>
    </row>
    <row r="83" spans="1:7" s="2" customFormat="1" ht="15">
      <c r="A83" s="53"/>
      <c r="G83" s="13"/>
    </row>
    <row r="84" s="2" customFormat="1" ht="15">
      <c r="A84" s="53"/>
    </row>
    <row r="85" s="2" customFormat="1" ht="15">
      <c r="A85" s="53"/>
    </row>
    <row r="86" s="2" customFormat="1" ht="15">
      <c r="A86" s="53"/>
    </row>
    <row r="87" spans="1:5" s="2" customFormat="1" ht="15">
      <c r="A87" s="227" t="s">
        <v>47</v>
      </c>
      <c r="B87" s="227"/>
      <c r="E87" s="2" t="s">
        <v>12</v>
      </c>
    </row>
    <row r="88" spans="1:5" s="2" customFormat="1" ht="15">
      <c r="A88" s="227" t="s">
        <v>1</v>
      </c>
      <c r="B88" s="227"/>
      <c r="E88" s="2" t="s">
        <v>212</v>
      </c>
    </row>
    <row r="89" spans="1:5" s="2" customFormat="1" ht="30" customHeight="1">
      <c r="A89" s="215" t="s">
        <v>71</v>
      </c>
      <c r="B89" s="215"/>
      <c r="C89" s="22"/>
      <c r="E89" s="2" t="s">
        <v>211</v>
      </c>
    </row>
    <row r="90" s="2" customFormat="1" ht="15">
      <c r="A90" s="53"/>
    </row>
    <row r="91" s="2" customFormat="1" ht="15">
      <c r="A91" s="53"/>
    </row>
    <row r="92" s="2" customFormat="1" ht="15">
      <c r="A92" s="53"/>
    </row>
    <row r="93" s="2" customFormat="1" ht="15">
      <c r="A93" s="53"/>
    </row>
  </sheetData>
  <sheetProtection/>
  <mergeCells count="17">
    <mergeCell ref="A88:B88"/>
    <mergeCell ref="A89:B89"/>
    <mergeCell ref="A82:D82"/>
    <mergeCell ref="A1:B1"/>
    <mergeCell ref="A3:E3"/>
    <mergeCell ref="A5:H5"/>
    <mergeCell ref="A6:H6"/>
    <mergeCell ref="E82:G82"/>
    <mergeCell ref="A87:B87"/>
    <mergeCell ref="F51:G51"/>
    <mergeCell ref="A68:G68"/>
    <mergeCell ref="F69:G69"/>
    <mergeCell ref="A76:C76"/>
    <mergeCell ref="A39:C39"/>
    <mergeCell ref="A41:H41"/>
    <mergeCell ref="A48:C48"/>
    <mergeCell ref="A50:G50"/>
  </mergeCells>
  <printOptions/>
  <pageMargins left="0.42" right="0.3" top="0.6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9"/>
  <sheetViews>
    <sheetView tabSelected="1" zoomScalePageLayoutView="0" workbookViewId="0" topLeftCell="A1">
      <selection activeCell="X2" sqref="X2"/>
    </sheetView>
  </sheetViews>
  <sheetFormatPr defaultColWidth="9.140625" defaultRowHeight="15"/>
  <cols>
    <col min="1" max="1" width="4.00390625" style="127" customWidth="1"/>
    <col min="2" max="2" width="45.140625" style="127" customWidth="1"/>
    <col min="3" max="3" width="11.8515625" style="127" customWidth="1"/>
    <col min="4" max="4" width="12.7109375" style="127" hidden="1" customWidth="1"/>
    <col min="5" max="5" width="12.00390625" style="127" hidden="1" customWidth="1"/>
    <col min="6" max="6" width="11.57421875" style="127" hidden="1" customWidth="1"/>
    <col min="7" max="7" width="8.8515625" style="127" hidden="1" customWidth="1"/>
    <col min="8" max="8" width="13.421875" style="127" hidden="1" customWidth="1"/>
    <col min="9" max="9" width="0.13671875" style="127" hidden="1" customWidth="1"/>
    <col min="10" max="14" width="10.7109375" style="127" hidden="1" customWidth="1"/>
    <col min="15" max="15" width="0.13671875" style="127" hidden="1" customWidth="1"/>
    <col min="16" max="16" width="13.00390625" style="127" bestFit="1" customWidth="1"/>
    <col min="17" max="17" width="14.8515625" style="127" customWidth="1"/>
    <col min="18" max="18" width="14.421875" style="127" bestFit="1" customWidth="1"/>
    <col min="19" max="19" width="9.140625" style="127" customWidth="1"/>
    <col min="20" max="20" width="10.421875" style="127" bestFit="1" customWidth="1"/>
    <col min="21" max="21" width="9.140625" style="127" customWidth="1"/>
    <col min="22" max="22" width="10.421875" style="127" bestFit="1" customWidth="1"/>
    <col min="23" max="16384" width="9.140625" style="127" customWidth="1"/>
  </cols>
  <sheetData>
    <row r="1" spans="2:18" s="59" customFormat="1" ht="20.25" customHeight="1">
      <c r="B1" s="208" t="s">
        <v>199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2:18" s="64" customFormat="1" ht="38.25" customHeight="1">
      <c r="B2" s="65"/>
      <c r="C2" s="66" t="s">
        <v>217</v>
      </c>
      <c r="D2" s="67" t="s">
        <v>77</v>
      </c>
      <c r="E2" s="67" t="s">
        <v>78</v>
      </c>
      <c r="F2" s="67" t="s">
        <v>79</v>
      </c>
      <c r="G2" s="67" t="s">
        <v>80</v>
      </c>
      <c r="H2" s="67" t="s">
        <v>81</v>
      </c>
      <c r="I2" s="67" t="s">
        <v>82</v>
      </c>
      <c r="J2" s="67" t="s">
        <v>83</v>
      </c>
      <c r="K2" s="67" t="s">
        <v>84</v>
      </c>
      <c r="L2" s="67" t="s">
        <v>85</v>
      </c>
      <c r="M2" s="67" t="s">
        <v>86</v>
      </c>
      <c r="N2" s="67" t="s">
        <v>87</v>
      </c>
      <c r="O2" s="67" t="s">
        <v>88</v>
      </c>
      <c r="P2" s="67" t="s">
        <v>218</v>
      </c>
      <c r="Q2" s="66" t="s">
        <v>219</v>
      </c>
      <c r="R2" s="66" t="s">
        <v>91</v>
      </c>
    </row>
    <row r="3" spans="2:17" s="69" customFormat="1" ht="15.75">
      <c r="B3" s="70" t="s">
        <v>92</v>
      </c>
      <c r="C3" s="71"/>
      <c r="D3" s="190"/>
      <c r="E3" s="72"/>
      <c r="F3" s="72"/>
      <c r="G3" s="72"/>
      <c r="H3" s="72"/>
      <c r="I3" s="72"/>
      <c r="J3" s="73"/>
      <c r="K3" s="73"/>
      <c r="L3" s="73"/>
      <c r="M3" s="73"/>
      <c r="N3" s="73"/>
      <c r="O3" s="73"/>
      <c r="P3" s="73"/>
      <c r="Q3" s="74"/>
    </row>
    <row r="4" spans="2:18" s="76" customFormat="1" ht="15.75">
      <c r="B4" s="77" t="s">
        <v>148</v>
      </c>
      <c r="C4" s="78"/>
      <c r="D4" s="78"/>
      <c r="E4" s="78"/>
      <c r="F4" s="78"/>
      <c r="G4" s="78"/>
      <c r="H4" s="78"/>
      <c r="I4" s="78">
        <v>138914.73</v>
      </c>
      <c r="J4" s="78">
        <v>138348.12</v>
      </c>
      <c r="K4" s="78">
        <v>138914.73</v>
      </c>
      <c r="L4" s="78">
        <v>138914.73</v>
      </c>
      <c r="M4" s="78">
        <v>138914.73</v>
      </c>
      <c r="N4" s="78">
        <v>138914.73</v>
      </c>
      <c r="O4" s="78">
        <v>138914.73</v>
      </c>
      <c r="P4" s="79">
        <f>I4+J4+K4+L4+M4+N4+O4</f>
        <v>971836.4999999999</v>
      </c>
      <c r="Q4" s="79">
        <v>737392.64</v>
      </c>
      <c r="R4" s="78">
        <f>C4+P4-Q4</f>
        <v>234443.85999999987</v>
      </c>
    </row>
    <row r="5" spans="2:18" s="76" customFormat="1" ht="15.75">
      <c r="B5" s="77" t="s">
        <v>192</v>
      </c>
      <c r="C5" s="78"/>
      <c r="D5" s="78"/>
      <c r="E5" s="78"/>
      <c r="F5" s="78"/>
      <c r="G5" s="78"/>
      <c r="H5" s="78"/>
      <c r="I5" s="78">
        <v>501.53</v>
      </c>
      <c r="J5" s="78">
        <v>297.91</v>
      </c>
      <c r="K5" s="78">
        <v>544.24</v>
      </c>
      <c r="L5" s="78">
        <v>544.24</v>
      </c>
      <c r="M5" s="78">
        <v>544.24</v>
      </c>
      <c r="N5" s="78">
        <v>544.24</v>
      </c>
      <c r="O5" s="79">
        <v>544.24</v>
      </c>
      <c r="P5" s="79">
        <f aca="true" t="shared" si="0" ref="P5:P18">I5+J5+K5+L5+M5+N5+O5</f>
        <v>3520.6399999999994</v>
      </c>
      <c r="Q5" s="79">
        <v>2652.41</v>
      </c>
      <c r="R5" s="78">
        <f>C5+P5-Q5</f>
        <v>868.2299999999996</v>
      </c>
    </row>
    <row r="6" spans="2:18" s="76" customFormat="1" ht="15.75">
      <c r="B6" s="77" t="s">
        <v>193</v>
      </c>
      <c r="C6" s="78"/>
      <c r="D6" s="78"/>
      <c r="E6" s="78"/>
      <c r="F6" s="78"/>
      <c r="G6" s="78"/>
      <c r="H6" s="78"/>
      <c r="I6" s="78">
        <v>750.59</v>
      </c>
      <c r="J6" s="78">
        <v>504.92</v>
      </c>
      <c r="K6" s="78">
        <v>652.69</v>
      </c>
      <c r="L6" s="78">
        <v>652.69</v>
      </c>
      <c r="M6" s="78">
        <v>652.69</v>
      </c>
      <c r="N6" s="78">
        <v>652.69</v>
      </c>
      <c r="O6" s="78">
        <f>652.69</f>
        <v>652.69</v>
      </c>
      <c r="P6" s="79">
        <f t="shared" si="0"/>
        <v>4518.960000000001</v>
      </c>
      <c r="Q6" s="79">
        <v>3464.6</v>
      </c>
      <c r="R6" s="78">
        <f>C6+P6-Q6</f>
        <v>1054.360000000001</v>
      </c>
    </row>
    <row r="7" spans="2:18" s="76" customFormat="1" ht="15.75">
      <c r="B7" s="77" t="s">
        <v>194</v>
      </c>
      <c r="C7" s="78"/>
      <c r="D7" s="78"/>
      <c r="E7" s="78"/>
      <c r="F7" s="78"/>
      <c r="G7" s="78"/>
      <c r="H7" s="78"/>
      <c r="I7" s="78">
        <v>1527.4</v>
      </c>
      <c r="J7" s="78">
        <v>-1348.19</v>
      </c>
      <c r="K7" s="78">
        <v>1414.22</v>
      </c>
      <c r="L7" s="78">
        <v>1414.22</v>
      </c>
      <c r="M7" s="78">
        <v>1414.22</v>
      </c>
      <c r="N7" s="78">
        <v>1414.22</v>
      </c>
      <c r="O7" s="78">
        <v>1414.22</v>
      </c>
      <c r="P7" s="79">
        <f t="shared" si="0"/>
        <v>7250.31</v>
      </c>
      <c r="Q7" s="79">
        <v>5008.03</v>
      </c>
      <c r="R7" s="78">
        <f>C7+P7-Q7</f>
        <v>2242.2800000000007</v>
      </c>
    </row>
    <row r="8" spans="2:18" s="76" customFormat="1" ht="15.75">
      <c r="B8" s="77" t="s">
        <v>196</v>
      </c>
      <c r="C8" s="78"/>
      <c r="D8" s="78"/>
      <c r="E8" s="78"/>
      <c r="F8" s="78"/>
      <c r="G8" s="78"/>
      <c r="H8" s="78"/>
      <c r="I8" s="78">
        <v>22767.49</v>
      </c>
      <c r="J8" s="78">
        <v>17135.14</v>
      </c>
      <c r="K8" s="78">
        <v>20559.85</v>
      </c>
      <c r="L8" s="78">
        <v>20559.85</v>
      </c>
      <c r="M8" s="79">
        <v>-26977.94</v>
      </c>
      <c r="N8" s="79">
        <v>13488.97</v>
      </c>
      <c r="O8" s="79">
        <v>-5765.11</v>
      </c>
      <c r="P8" s="79">
        <f t="shared" si="0"/>
        <v>61768.25</v>
      </c>
      <c r="Q8" s="79">
        <v>74277.37</v>
      </c>
      <c r="R8" s="78">
        <f>C8+P8-Q8</f>
        <v>-12509.119999999995</v>
      </c>
    </row>
    <row r="9" spans="2:18" s="76" customFormat="1" ht="15.75" hidden="1">
      <c r="B9" s="77" t="s">
        <v>93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79"/>
      <c r="O9" s="79"/>
      <c r="P9" s="79">
        <f t="shared" si="0"/>
        <v>0</v>
      </c>
      <c r="Q9" s="79"/>
      <c r="R9" s="78">
        <f aca="true" t="shared" si="1" ref="R9:R32">C9+P9-Q9</f>
        <v>0</v>
      </c>
    </row>
    <row r="10" spans="2:18" s="76" customFormat="1" ht="15.75">
      <c r="B10" s="77" t="s">
        <v>166</v>
      </c>
      <c r="C10" s="78"/>
      <c r="D10" s="78"/>
      <c r="E10" s="78"/>
      <c r="F10" s="78"/>
      <c r="G10" s="78"/>
      <c r="H10" s="78"/>
      <c r="I10" s="78">
        <v>23932.04</v>
      </c>
      <c r="J10" s="78">
        <v>23802.66</v>
      </c>
      <c r="K10" s="78">
        <v>23932.04</v>
      </c>
      <c r="L10" s="78">
        <v>23932.04</v>
      </c>
      <c r="M10" s="78">
        <v>23932.04</v>
      </c>
      <c r="N10" s="78">
        <v>23932.04</v>
      </c>
      <c r="O10" s="78">
        <v>23932.04</v>
      </c>
      <c r="P10" s="79">
        <f t="shared" si="0"/>
        <v>167394.90000000002</v>
      </c>
      <c r="Q10" s="79">
        <v>128223.79</v>
      </c>
      <c r="R10" s="78">
        <f t="shared" si="1"/>
        <v>39171.11000000003</v>
      </c>
    </row>
    <row r="11" spans="2:18" s="76" customFormat="1" ht="15.75">
      <c r="B11" s="77" t="s">
        <v>94</v>
      </c>
      <c r="C11" s="78"/>
      <c r="D11" s="78"/>
      <c r="E11" s="78"/>
      <c r="F11" s="78"/>
      <c r="G11" s="78"/>
      <c r="H11" s="78"/>
      <c r="I11" s="78">
        <v>46422.72</v>
      </c>
      <c r="J11" s="78">
        <v>46140.43</v>
      </c>
      <c r="K11" s="78">
        <v>46422.72</v>
      </c>
      <c r="L11" s="78">
        <v>46422.72</v>
      </c>
      <c r="M11" s="78">
        <v>46422.72</v>
      </c>
      <c r="N11" s="78">
        <v>46422.72</v>
      </c>
      <c r="O11" s="78">
        <v>46422.72</v>
      </c>
      <c r="P11" s="79">
        <f t="shared" si="0"/>
        <v>324676.75</v>
      </c>
      <c r="Q11" s="79">
        <v>243477.13</v>
      </c>
      <c r="R11" s="78">
        <f t="shared" si="1"/>
        <v>81199.62</v>
      </c>
    </row>
    <row r="12" spans="2:18" s="76" customFormat="1" ht="15.75">
      <c r="B12" s="77" t="s">
        <v>96</v>
      </c>
      <c r="C12" s="78"/>
      <c r="D12" s="78"/>
      <c r="E12" s="78"/>
      <c r="F12" s="78"/>
      <c r="G12" s="78"/>
      <c r="H12" s="78"/>
      <c r="I12" s="78">
        <v>6276</v>
      </c>
      <c r="J12" s="78">
        <v>6082.95</v>
      </c>
      <c r="K12" s="78">
        <v>6206</v>
      </c>
      <c r="L12" s="78">
        <v>6087</v>
      </c>
      <c r="M12" s="78">
        <v>6173</v>
      </c>
      <c r="N12" s="78">
        <v>5903</v>
      </c>
      <c r="O12" s="79">
        <v>6173</v>
      </c>
      <c r="P12" s="79">
        <f t="shared" si="0"/>
        <v>42900.95</v>
      </c>
      <c r="Q12" s="79">
        <v>32326.63</v>
      </c>
      <c r="R12" s="78">
        <f t="shared" si="1"/>
        <v>10574.319999999996</v>
      </c>
    </row>
    <row r="13" spans="2:18" s="76" customFormat="1" ht="15.75">
      <c r="B13" s="77" t="s">
        <v>163</v>
      </c>
      <c r="C13" s="78"/>
      <c r="D13" s="78"/>
      <c r="E13" s="78"/>
      <c r="F13" s="78"/>
      <c r="G13" s="78"/>
      <c r="H13" s="78"/>
      <c r="I13" s="78">
        <v>8131.58</v>
      </c>
      <c r="J13" s="78">
        <v>6010.67</v>
      </c>
      <c r="K13" s="78">
        <v>7071.16</v>
      </c>
      <c r="L13" s="78">
        <v>7071.16</v>
      </c>
      <c r="M13" s="78">
        <v>7071.16</v>
      </c>
      <c r="N13" s="78">
        <v>7071.16</v>
      </c>
      <c r="O13" s="78">
        <v>7071.16</v>
      </c>
      <c r="P13" s="79">
        <f t="shared" si="0"/>
        <v>49498.05</v>
      </c>
      <c r="Q13" s="79">
        <v>37841.89</v>
      </c>
      <c r="R13" s="78">
        <f t="shared" si="1"/>
        <v>11656.160000000003</v>
      </c>
    </row>
    <row r="14" spans="2:18" s="76" customFormat="1" ht="15.75">
      <c r="B14" s="77" t="s">
        <v>197</v>
      </c>
      <c r="C14" s="78"/>
      <c r="D14" s="78"/>
      <c r="E14" s="78"/>
      <c r="F14" s="78"/>
      <c r="G14" s="78"/>
      <c r="H14" s="78"/>
      <c r="I14" s="78">
        <v>28000</v>
      </c>
      <c r="J14" s="78">
        <v>28000</v>
      </c>
      <c r="K14" s="78">
        <f>1000+27000</f>
        <v>28000</v>
      </c>
      <c r="L14" s="78">
        <f>1000+27000</f>
        <v>28000</v>
      </c>
      <c r="M14" s="78">
        <f>1000+27000</f>
        <v>28000</v>
      </c>
      <c r="N14" s="78">
        <f>1000+27000</f>
        <v>28000</v>
      </c>
      <c r="O14" s="79">
        <v>28000</v>
      </c>
      <c r="P14" s="79">
        <f t="shared" si="0"/>
        <v>196000</v>
      </c>
      <c r="Q14" s="79">
        <f>112000+27000</f>
        <v>139000</v>
      </c>
      <c r="R14" s="78">
        <f t="shared" si="1"/>
        <v>57000</v>
      </c>
    </row>
    <row r="15" spans="2:18" s="76" customFormat="1" ht="15.75">
      <c r="B15" s="77" t="s">
        <v>97</v>
      </c>
      <c r="C15" s="78"/>
      <c r="D15" s="78"/>
      <c r="E15" s="78"/>
      <c r="F15" s="78"/>
      <c r="G15" s="78"/>
      <c r="H15" s="78"/>
      <c r="I15" s="78">
        <v>2755</v>
      </c>
      <c r="J15" s="78">
        <v>2755</v>
      </c>
      <c r="K15" s="78">
        <v>2755</v>
      </c>
      <c r="L15" s="78">
        <v>2755</v>
      </c>
      <c r="M15" s="78">
        <v>2755</v>
      </c>
      <c r="N15" s="78">
        <v>2755</v>
      </c>
      <c r="O15" s="78">
        <v>2752</v>
      </c>
      <c r="P15" s="79">
        <f t="shared" si="0"/>
        <v>19282</v>
      </c>
      <c r="Q15" s="78">
        <v>7641.28</v>
      </c>
      <c r="R15" s="78">
        <f t="shared" si="1"/>
        <v>11640.720000000001</v>
      </c>
    </row>
    <row r="16" spans="2:18" s="76" customFormat="1" ht="15.75">
      <c r="B16" s="191">
        <v>0.1</v>
      </c>
      <c r="C16" s="78"/>
      <c r="D16" s="78">
        <f>-(D15+D14)*10%</f>
        <v>0</v>
      </c>
      <c r="E16" s="78">
        <f aca="true" t="shared" si="2" ref="E16:O16">-(E15+E14)*10%</f>
        <v>0</v>
      </c>
      <c r="F16" s="78">
        <f t="shared" si="2"/>
        <v>0</v>
      </c>
      <c r="G16" s="78">
        <f t="shared" si="2"/>
        <v>0</v>
      </c>
      <c r="H16" s="78">
        <f t="shared" si="2"/>
        <v>0</v>
      </c>
      <c r="I16" s="78">
        <f t="shared" si="2"/>
        <v>-3075.5</v>
      </c>
      <c r="J16" s="78">
        <f>-(J15+J14)*10%</f>
        <v>-3075.5</v>
      </c>
      <c r="K16" s="78">
        <f t="shared" si="2"/>
        <v>-3075.5</v>
      </c>
      <c r="L16" s="78">
        <f t="shared" si="2"/>
        <v>-3075.5</v>
      </c>
      <c r="M16" s="78">
        <f t="shared" si="2"/>
        <v>-3075.5</v>
      </c>
      <c r="N16" s="78">
        <f t="shared" si="2"/>
        <v>-3075.5</v>
      </c>
      <c r="O16" s="78">
        <f t="shared" si="2"/>
        <v>-3075.2000000000003</v>
      </c>
      <c r="P16" s="79">
        <f t="shared" si="0"/>
        <v>-21528.2</v>
      </c>
      <c r="Q16" s="78">
        <f>-(Q15+Q14)*10%</f>
        <v>-14664.128</v>
      </c>
      <c r="R16" s="78">
        <f t="shared" si="1"/>
        <v>-6864.072</v>
      </c>
    </row>
    <row r="17" spans="2:18" s="76" customFormat="1" ht="15.75">
      <c r="B17" s="77" t="s">
        <v>161</v>
      </c>
      <c r="C17" s="78"/>
      <c r="D17" s="78"/>
      <c r="E17" s="78"/>
      <c r="F17" s="78"/>
      <c r="G17" s="78"/>
      <c r="H17" s="78"/>
      <c r="I17" s="78">
        <f>24556.3+27000-4500</f>
        <v>47056.3</v>
      </c>
      <c r="J17" s="78">
        <f>24556.3+91577.3</f>
        <v>116133.6</v>
      </c>
      <c r="K17" s="78">
        <v>24556.3</v>
      </c>
      <c r="L17" s="78">
        <v>24556.3</v>
      </c>
      <c r="M17" s="78">
        <v>24556.3</v>
      </c>
      <c r="N17" s="78">
        <v>24556.3</v>
      </c>
      <c r="O17" s="78">
        <v>24556.3</v>
      </c>
      <c r="P17" s="79">
        <f t="shared" si="0"/>
        <v>285971.39999999997</v>
      </c>
      <c r="Q17" s="78">
        <f>120198.49+91577.3</f>
        <v>211775.79</v>
      </c>
      <c r="R17" s="78">
        <f t="shared" si="1"/>
        <v>74195.60999999996</v>
      </c>
    </row>
    <row r="18" spans="2:18" s="76" customFormat="1" ht="15.75">
      <c r="B18" s="77" t="s">
        <v>202</v>
      </c>
      <c r="C18" s="78"/>
      <c r="D18" s="78"/>
      <c r="E18" s="78"/>
      <c r="F18" s="78"/>
      <c r="G18" s="78"/>
      <c r="H18" s="78"/>
      <c r="I18" s="78">
        <v>894.06</v>
      </c>
      <c r="J18" s="78">
        <v>1284.9</v>
      </c>
      <c r="K18" s="78">
        <v>1251.59</v>
      </c>
      <c r="L18" s="78">
        <v>1251.59</v>
      </c>
      <c r="M18" s="78">
        <f>815.42+222.56</f>
        <v>1037.98</v>
      </c>
      <c r="N18" s="78">
        <v>944.79</v>
      </c>
      <c r="O18" s="78">
        <v>944.79</v>
      </c>
      <c r="P18" s="79">
        <f t="shared" si="0"/>
        <v>7609.700000000001</v>
      </c>
      <c r="Q18" s="78">
        <v>5363.57</v>
      </c>
      <c r="R18" s="78">
        <f t="shared" si="1"/>
        <v>2246.130000000001</v>
      </c>
    </row>
    <row r="19" spans="2:18" s="81" customFormat="1" ht="15.75">
      <c r="B19" s="82" t="s">
        <v>98</v>
      </c>
      <c r="C19" s="83">
        <f>SUM(C4:C17)</f>
        <v>0</v>
      </c>
      <c r="D19" s="83">
        <f>D4+D9+D10+D11+D12+D13+D15+D16+D17+D5+D6+D7+D8+D14</f>
        <v>0</v>
      </c>
      <c r="E19" s="83">
        <f>E4+E9+E10+E11+E12+E13+E15+E16+E17+E5+E6+E7+E8+E14</f>
        <v>0</v>
      </c>
      <c r="F19" s="83">
        <f>F4+F9+F10+F11+F12+F13+F15+F16+F17+F5+F6+F7+F8+F14</f>
        <v>0</v>
      </c>
      <c r="G19" s="83">
        <f>G4+G9+G10+G11+G12+G13+G15+G16+G17+G5+G6+G7+G8+G14</f>
        <v>0</v>
      </c>
      <c r="H19" s="83">
        <f>H4+H9+H10+H11+H12+H13+H15+H16+H17+H5+H6+H7+H8+H14</f>
        <v>0</v>
      </c>
      <c r="I19" s="83">
        <f>I4+I9+I10+I11+I12+I13+I15+I16+I17+I5+I6+I7+I8+I14+I18</f>
        <v>324853.94000000006</v>
      </c>
      <c r="J19" s="83">
        <f aca="true" t="shared" si="3" ref="J19:R19">J4+J9+J10+J11+J12+J13+J15+J16+J17+J5+J6+J7+J8+J14+J18</f>
        <v>382072.61000000004</v>
      </c>
      <c r="K19" s="83">
        <f t="shared" si="3"/>
        <v>299205.04000000004</v>
      </c>
      <c r="L19" s="83">
        <f t="shared" si="3"/>
        <v>299086.04000000004</v>
      </c>
      <c r="M19" s="83">
        <f t="shared" si="3"/>
        <v>251420.64</v>
      </c>
      <c r="N19" s="83">
        <f t="shared" si="3"/>
        <v>291524.36</v>
      </c>
      <c r="O19" s="83">
        <f t="shared" si="3"/>
        <v>272537.58</v>
      </c>
      <c r="P19" s="83">
        <f t="shared" si="3"/>
        <v>2120700.21</v>
      </c>
      <c r="Q19" s="83">
        <f t="shared" si="3"/>
        <v>1613781.002</v>
      </c>
      <c r="R19" s="83">
        <f t="shared" si="3"/>
        <v>506919.20799999987</v>
      </c>
    </row>
    <row r="20" spans="2:18" s="93" customFormat="1" ht="15.75">
      <c r="B20" s="129" t="s">
        <v>220</v>
      </c>
      <c r="C20" s="94"/>
      <c r="D20" s="94"/>
      <c r="E20" s="94"/>
      <c r="F20" s="94"/>
      <c r="G20" s="94"/>
      <c r="H20" s="94"/>
      <c r="I20" s="94"/>
      <c r="J20" s="87"/>
      <c r="K20" s="87"/>
      <c r="L20" s="87"/>
      <c r="M20" s="87"/>
      <c r="N20" s="87"/>
      <c r="O20" s="87"/>
      <c r="P20" s="118">
        <v>118577.29500000011</v>
      </c>
      <c r="Q20" s="118">
        <f>P20</f>
        <v>118577.29500000011</v>
      </c>
      <c r="R20" s="94"/>
    </row>
    <row r="21" spans="2:18" s="76" customFormat="1" ht="15.75">
      <c r="B21" s="206" t="s">
        <v>102</v>
      </c>
      <c r="C21" s="207"/>
      <c r="D21" s="89"/>
      <c r="E21" s="89"/>
      <c r="F21" s="89"/>
      <c r="G21" s="89"/>
      <c r="H21" s="89"/>
      <c r="I21" s="89"/>
      <c r="J21" s="90"/>
      <c r="K21" s="90"/>
      <c r="L21" s="90"/>
      <c r="M21" s="90"/>
      <c r="N21" s="90"/>
      <c r="O21" s="90"/>
      <c r="P21" s="79"/>
      <c r="Q21" s="90"/>
      <c r="R21" s="78"/>
    </row>
    <row r="22" spans="2:18" s="76" customFormat="1" ht="15.75">
      <c r="B22" s="77" t="s">
        <v>59</v>
      </c>
      <c r="C22" s="78"/>
      <c r="D22" s="78"/>
      <c r="E22" s="78"/>
      <c r="F22" s="78"/>
      <c r="G22" s="78"/>
      <c r="H22" s="78"/>
      <c r="I22" s="78">
        <v>18998.03</v>
      </c>
      <c r="J22" s="79">
        <v>17166.94</v>
      </c>
      <c r="K22" s="79">
        <v>16460.52</v>
      </c>
      <c r="L22" s="79">
        <v>17042.33</v>
      </c>
      <c r="M22" s="79">
        <v>18784.2</v>
      </c>
      <c r="N22" s="79">
        <v>18862.76</v>
      </c>
      <c r="O22" s="79">
        <f>19236.68-330.29</f>
        <v>18906.39</v>
      </c>
      <c r="P22" s="79">
        <f>SUM(D22:O22)</f>
        <v>126221.17</v>
      </c>
      <c r="Q22" s="79">
        <v>95078.41</v>
      </c>
      <c r="R22" s="78">
        <f t="shared" si="1"/>
        <v>31142.759999999995</v>
      </c>
    </row>
    <row r="23" spans="2:18" s="76" customFormat="1" ht="15.75">
      <c r="B23" s="77" t="s">
        <v>60</v>
      </c>
      <c r="C23" s="78"/>
      <c r="D23" s="78"/>
      <c r="E23" s="78"/>
      <c r="F23" s="78"/>
      <c r="G23" s="78"/>
      <c r="H23" s="78"/>
      <c r="I23" s="78">
        <v>20057.31</v>
      </c>
      <c r="J23" s="79">
        <v>18125.55</v>
      </c>
      <c r="K23" s="79">
        <v>17856.66</v>
      </c>
      <c r="L23" s="79">
        <v>19273.45</v>
      </c>
      <c r="M23" s="79">
        <v>19751.98</v>
      </c>
      <c r="N23" s="79">
        <v>19591.07</v>
      </c>
      <c r="O23" s="79">
        <f>19862.47-491.65</f>
        <v>19370.82</v>
      </c>
      <c r="P23" s="79">
        <f>SUM(D23:O23)</f>
        <v>134026.84</v>
      </c>
      <c r="Q23" s="79">
        <v>101490.45</v>
      </c>
      <c r="R23" s="78">
        <f t="shared" si="1"/>
        <v>32536.39</v>
      </c>
    </row>
    <row r="24" spans="2:18" s="76" customFormat="1" ht="15.75">
      <c r="B24" s="77" t="s">
        <v>56</v>
      </c>
      <c r="C24" s="78"/>
      <c r="D24" s="78"/>
      <c r="E24" s="78"/>
      <c r="F24" s="78"/>
      <c r="G24" s="78"/>
      <c r="H24" s="78"/>
      <c r="I24" s="78">
        <v>60327.01</v>
      </c>
      <c r="J24" s="79">
        <v>54716.2</v>
      </c>
      <c r="K24" s="79">
        <v>54891.32</v>
      </c>
      <c r="L24" s="79">
        <v>69561.84</v>
      </c>
      <c r="M24" s="79">
        <v>56595.94</v>
      </c>
      <c r="N24" s="79">
        <v>66044.42</v>
      </c>
      <c r="O24" s="79">
        <f>57873.28-1410.36</f>
        <v>56462.92</v>
      </c>
      <c r="P24" s="79">
        <f>SUM(D24:O24)</f>
        <v>418599.64999999997</v>
      </c>
      <c r="Q24" s="79">
        <v>305295.57</v>
      </c>
      <c r="R24" s="78">
        <f t="shared" si="1"/>
        <v>113304.07999999996</v>
      </c>
    </row>
    <row r="25" spans="2:18" s="76" customFormat="1" ht="15.75">
      <c r="B25" s="77" t="s">
        <v>106</v>
      </c>
      <c r="C25" s="78"/>
      <c r="D25" s="78"/>
      <c r="E25" s="78"/>
      <c r="F25" s="78"/>
      <c r="G25" s="78"/>
      <c r="H25" s="78"/>
      <c r="I25" s="78"/>
      <c r="J25" s="78">
        <v>-548.06</v>
      </c>
      <c r="K25" s="79"/>
      <c r="L25" s="79">
        <v>20048.57</v>
      </c>
      <c r="M25" s="79">
        <v>167526.62</v>
      </c>
      <c r="N25" s="79">
        <v>176526.87</v>
      </c>
      <c r="O25" s="79">
        <v>280331.43</v>
      </c>
      <c r="P25" s="79">
        <f>SUM(D25:O25)</f>
        <v>643885.4299999999</v>
      </c>
      <c r="Q25" s="79">
        <v>294893.69</v>
      </c>
      <c r="R25" s="78">
        <f t="shared" si="1"/>
        <v>348991.73999999993</v>
      </c>
    </row>
    <row r="26" spans="2:18" s="76" customFormat="1" ht="15.75">
      <c r="B26" s="77" t="s">
        <v>58</v>
      </c>
      <c r="C26" s="78"/>
      <c r="D26" s="78"/>
      <c r="E26" s="78"/>
      <c r="F26" s="78"/>
      <c r="G26" s="78"/>
      <c r="H26" s="78"/>
      <c r="I26" s="78">
        <v>31814.87</v>
      </c>
      <c r="J26" s="79">
        <v>29259.15</v>
      </c>
      <c r="K26" s="79">
        <v>31197.04</v>
      </c>
      <c r="L26" s="79">
        <v>35323.88</v>
      </c>
      <c r="M26" s="79">
        <v>32187.28</v>
      </c>
      <c r="N26" s="79">
        <v>31358.09</v>
      </c>
      <c r="O26" s="79">
        <v>30569.27</v>
      </c>
      <c r="P26" s="79">
        <f>SUM(D26:O26)</f>
        <v>221709.58</v>
      </c>
      <c r="Q26" s="79">
        <v>167949.05</v>
      </c>
      <c r="R26" s="78">
        <f t="shared" si="1"/>
        <v>53760.53</v>
      </c>
    </row>
    <row r="27" spans="2:18" s="81" customFormat="1" ht="15.75">
      <c r="B27" s="82" t="s">
        <v>201</v>
      </c>
      <c r="C27" s="83">
        <f aca="true" t="shared" si="4" ref="C27:H27">C28+C29+C30+C31+C32</f>
        <v>0</v>
      </c>
      <c r="D27" s="83">
        <f t="shared" si="4"/>
        <v>0</v>
      </c>
      <c r="E27" s="83">
        <f t="shared" si="4"/>
        <v>0</v>
      </c>
      <c r="F27" s="83">
        <f t="shared" si="4"/>
        <v>0</v>
      </c>
      <c r="G27" s="83">
        <f t="shared" si="4"/>
        <v>0</v>
      </c>
      <c r="H27" s="83">
        <f t="shared" si="4"/>
        <v>0</v>
      </c>
      <c r="I27" s="83">
        <f>I28+I29+I30+I31+I32</f>
        <v>12587.77</v>
      </c>
      <c r="J27" s="83">
        <f>J28+J29+J30+J31+J32</f>
        <v>20356.02</v>
      </c>
      <c r="K27" s="83">
        <f aca="true" t="shared" si="5" ref="K27:R27">K28+K29+K30+K31+K32</f>
        <v>19732.809999999998</v>
      </c>
      <c r="L27" s="83">
        <f t="shared" si="5"/>
        <v>24712.909999999996</v>
      </c>
      <c r="M27" s="83">
        <f t="shared" si="5"/>
        <v>45274.78</v>
      </c>
      <c r="N27" s="83">
        <f t="shared" si="5"/>
        <v>61586.75</v>
      </c>
      <c r="O27" s="83">
        <f t="shared" si="5"/>
        <v>78001.62</v>
      </c>
      <c r="P27" s="83">
        <f t="shared" si="5"/>
        <v>262252.66</v>
      </c>
      <c r="Q27" s="83">
        <f t="shared" si="5"/>
        <v>127392.89</v>
      </c>
      <c r="R27" s="83">
        <f t="shared" si="5"/>
        <v>134859.76999999996</v>
      </c>
    </row>
    <row r="28" spans="2:18" s="93" customFormat="1" ht="15.75">
      <c r="B28" s="85" t="s">
        <v>125</v>
      </c>
      <c r="C28" s="94"/>
      <c r="D28" s="94"/>
      <c r="E28" s="94"/>
      <c r="F28" s="94"/>
      <c r="G28" s="94"/>
      <c r="H28" s="94"/>
      <c r="I28" s="94">
        <v>2144.94</v>
      </c>
      <c r="J28" s="94">
        <v>1375.4</v>
      </c>
      <c r="K28" s="94">
        <v>3174</v>
      </c>
      <c r="L28" s="94">
        <v>3385.6</v>
      </c>
      <c r="M28" s="94">
        <v>2750.8</v>
      </c>
      <c r="N28" s="94">
        <v>2433.4</v>
      </c>
      <c r="O28" s="94">
        <v>2539.2</v>
      </c>
      <c r="P28" s="87">
        <f>SUM(D28:O28)</f>
        <v>17803.34</v>
      </c>
      <c r="Q28" s="94">
        <v>12513.34</v>
      </c>
      <c r="R28" s="94">
        <f t="shared" si="1"/>
        <v>5290</v>
      </c>
    </row>
    <row r="29" spans="2:18" s="93" customFormat="1" ht="15.75">
      <c r="B29" s="85" t="s">
        <v>159</v>
      </c>
      <c r="C29" s="94"/>
      <c r="D29" s="94"/>
      <c r="E29" s="94"/>
      <c r="F29" s="94"/>
      <c r="G29" s="94"/>
      <c r="H29" s="94"/>
      <c r="I29" s="94">
        <v>1904.57</v>
      </c>
      <c r="J29" s="94">
        <v>2846.2</v>
      </c>
      <c r="K29" s="94">
        <v>2169.86</v>
      </c>
      <c r="L29" s="94">
        <v>2846.18</v>
      </c>
      <c r="M29" s="94">
        <v>2028.96</v>
      </c>
      <c r="N29" s="94">
        <v>1831.7</v>
      </c>
      <c r="O29" s="94">
        <v>1859.88</v>
      </c>
      <c r="P29" s="87">
        <f>SUM(D29:O29)</f>
        <v>15487.350000000002</v>
      </c>
      <c r="Q29" s="94">
        <v>11767.57</v>
      </c>
      <c r="R29" s="94">
        <f t="shared" si="1"/>
        <v>3719.7800000000025</v>
      </c>
    </row>
    <row r="30" spans="2:18" s="93" customFormat="1" ht="15.75">
      <c r="B30" s="85" t="s">
        <v>160</v>
      </c>
      <c r="C30" s="94"/>
      <c r="D30" s="94"/>
      <c r="E30" s="94"/>
      <c r="F30" s="94"/>
      <c r="G30" s="94"/>
      <c r="H30" s="94"/>
      <c r="I30" s="94">
        <v>1561.34</v>
      </c>
      <c r="J30" s="94">
        <v>2046.3</v>
      </c>
      <c r="K30" s="94">
        <v>1920.65</v>
      </c>
      <c r="L30" s="94">
        <v>2387.35</v>
      </c>
      <c r="M30" s="94">
        <v>1759.1</v>
      </c>
      <c r="N30" s="94">
        <v>1579.6</v>
      </c>
      <c r="O30" s="94">
        <v>1615.5</v>
      </c>
      <c r="P30" s="87">
        <f>SUM(D30:O30)</f>
        <v>12869.84</v>
      </c>
      <c r="Q30" s="94">
        <v>9602.4</v>
      </c>
      <c r="R30" s="94">
        <f t="shared" si="1"/>
        <v>3267.4400000000005</v>
      </c>
    </row>
    <row r="31" spans="2:18" s="93" customFormat="1" ht="15.75">
      <c r="B31" s="85" t="s">
        <v>120</v>
      </c>
      <c r="C31" s="94"/>
      <c r="D31" s="94"/>
      <c r="E31" s="94"/>
      <c r="F31" s="94"/>
      <c r="G31" s="94"/>
      <c r="H31" s="94"/>
      <c r="I31" s="94">
        <v>6976.92</v>
      </c>
      <c r="J31" s="94">
        <v>14088.12</v>
      </c>
      <c r="K31" s="94">
        <v>12468.3</v>
      </c>
      <c r="L31" s="94">
        <v>12318.54</v>
      </c>
      <c r="M31" s="94">
        <v>10240.55</v>
      </c>
      <c r="N31" s="94">
        <v>9173.99</v>
      </c>
      <c r="O31" s="94">
        <v>11272.25</v>
      </c>
      <c r="P31" s="87">
        <f>SUM(D31:O31)</f>
        <v>76538.66999999998</v>
      </c>
      <c r="Q31" s="94">
        <v>56124.33</v>
      </c>
      <c r="R31" s="94">
        <f t="shared" si="1"/>
        <v>20414.339999999982</v>
      </c>
    </row>
    <row r="32" spans="2:18" s="93" customFormat="1" ht="15.75">
      <c r="B32" s="85" t="s">
        <v>106</v>
      </c>
      <c r="C32" s="94"/>
      <c r="D32" s="94"/>
      <c r="E32" s="94"/>
      <c r="F32" s="94"/>
      <c r="G32" s="94"/>
      <c r="H32" s="94"/>
      <c r="I32" s="94"/>
      <c r="J32" s="94"/>
      <c r="K32" s="94"/>
      <c r="L32" s="94">
        <v>3775.24</v>
      </c>
      <c r="M32" s="94">
        <v>28495.37</v>
      </c>
      <c r="N32" s="94">
        <v>46568.06</v>
      </c>
      <c r="O32" s="94">
        <v>60714.79</v>
      </c>
      <c r="P32" s="87">
        <f>SUM(D32:O32)</f>
        <v>139553.46</v>
      </c>
      <c r="Q32" s="94">
        <v>37385.25</v>
      </c>
      <c r="R32" s="94">
        <f t="shared" si="1"/>
        <v>102168.20999999999</v>
      </c>
    </row>
    <row r="33" spans="2:18" s="81" customFormat="1" ht="15.75">
      <c r="B33" s="82" t="s">
        <v>110</v>
      </c>
      <c r="C33" s="83">
        <v>0</v>
      </c>
      <c r="D33" s="83" t="e">
        <f>D22+D23+D24+D25+D26+#REF!+#REF!+#REF!+#REF!+D27</f>
        <v>#REF!</v>
      </c>
      <c r="E33" s="83" t="e">
        <f>E22+E23+E24+E25+E26+#REF!+#REF!+#REF!+#REF!+E27</f>
        <v>#REF!</v>
      </c>
      <c r="F33" s="83" t="e">
        <f>F22+F23+F24+F25+F26+#REF!+#REF!+#REF!+#REF!+F27</f>
        <v>#REF!</v>
      </c>
      <c r="G33" s="83" t="e">
        <f>G22+G23+G24+G25+G26+#REF!+#REF!+#REF!+#REF!+G27</f>
        <v>#REF!</v>
      </c>
      <c r="H33" s="83" t="e">
        <f>H22+H23+H24+H25+H26+#REF!+#REF!+#REF!+#REF!+H27</f>
        <v>#REF!</v>
      </c>
      <c r="I33" s="83">
        <f>I22+I23+I24+I25+I26+I27</f>
        <v>143784.99</v>
      </c>
      <c r="J33" s="83">
        <f aca="true" t="shared" si="6" ref="J33:R33">J22+J23+J24+J25+J26+J27</f>
        <v>139075.8</v>
      </c>
      <c r="K33" s="83">
        <f t="shared" si="6"/>
        <v>140138.35</v>
      </c>
      <c r="L33" s="83">
        <f t="shared" si="6"/>
        <v>185962.98</v>
      </c>
      <c r="M33" s="83">
        <f t="shared" si="6"/>
        <v>340120.80000000005</v>
      </c>
      <c r="N33" s="83">
        <f t="shared" si="6"/>
        <v>373969.96</v>
      </c>
      <c r="O33" s="83">
        <f t="shared" si="6"/>
        <v>483642.45</v>
      </c>
      <c r="P33" s="83">
        <f t="shared" si="6"/>
        <v>1806695.3299999998</v>
      </c>
      <c r="Q33" s="83">
        <f t="shared" si="6"/>
        <v>1092100.0599999998</v>
      </c>
      <c r="R33" s="83">
        <f t="shared" si="6"/>
        <v>714595.2699999998</v>
      </c>
    </row>
    <row r="34" spans="2:18" s="81" customFormat="1" ht="15.75">
      <c r="B34" s="82" t="s">
        <v>111</v>
      </c>
      <c r="C34" s="83">
        <f aca="true" t="shared" si="7" ref="C34:P34">C33+C19</f>
        <v>0</v>
      </c>
      <c r="D34" s="83" t="e">
        <f t="shared" si="7"/>
        <v>#REF!</v>
      </c>
      <c r="E34" s="83" t="e">
        <f t="shared" si="7"/>
        <v>#REF!</v>
      </c>
      <c r="F34" s="83" t="e">
        <f t="shared" si="7"/>
        <v>#REF!</v>
      </c>
      <c r="G34" s="83" t="e">
        <f t="shared" si="7"/>
        <v>#REF!</v>
      </c>
      <c r="H34" s="83" t="e">
        <f t="shared" si="7"/>
        <v>#REF!</v>
      </c>
      <c r="I34" s="83">
        <f t="shared" si="7"/>
        <v>468638.93000000005</v>
      </c>
      <c r="J34" s="83">
        <f t="shared" si="7"/>
        <v>521148.41000000003</v>
      </c>
      <c r="K34" s="83">
        <f t="shared" si="7"/>
        <v>439343.39</v>
      </c>
      <c r="L34" s="83">
        <f t="shared" si="7"/>
        <v>485049.02</v>
      </c>
      <c r="M34" s="83">
        <f t="shared" si="7"/>
        <v>591541.4400000001</v>
      </c>
      <c r="N34" s="83">
        <f t="shared" si="7"/>
        <v>665494.3200000001</v>
      </c>
      <c r="O34" s="83">
        <f t="shared" si="7"/>
        <v>756180.03</v>
      </c>
      <c r="P34" s="83">
        <f t="shared" si="7"/>
        <v>3927395.54</v>
      </c>
      <c r="Q34" s="83">
        <f>Q33+Q19+Q20</f>
        <v>2824458.357</v>
      </c>
      <c r="R34" s="83">
        <f>R33+R19+R20</f>
        <v>1221514.4779999997</v>
      </c>
    </row>
    <row r="35" spans="2:18" s="81" customFormat="1" ht="1.5" customHeight="1">
      <c r="B35" s="85" t="s">
        <v>99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 t="e">
        <f>#REF!+#REF!</f>
        <v>#REF!</v>
      </c>
      <c r="R35" s="83"/>
    </row>
    <row r="36" spans="2:18" s="81" customFormat="1" ht="15.75" hidden="1">
      <c r="B36" s="85" t="s">
        <v>100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 t="e">
        <f>#REF!</f>
        <v>#REF!</v>
      </c>
      <c r="R36" s="83"/>
    </row>
    <row r="37" spans="2:18" s="81" customFormat="1" ht="15.75" hidden="1">
      <c r="B37" s="88" t="s">
        <v>101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 t="e">
        <f>#REF!+#REF!</f>
        <v>#REF!</v>
      </c>
      <c r="R37" s="96"/>
    </row>
    <row r="38" spans="2:18" s="81" customFormat="1" ht="15.75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18" s="101" customFormat="1" ht="17.25" customHeight="1">
      <c r="A39" s="99"/>
      <c r="B39" s="209" t="s">
        <v>200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1"/>
    </row>
    <row r="40" spans="1:18" s="101" customFormat="1" ht="17.25" customHeight="1">
      <c r="A40" s="102"/>
      <c r="B40" s="212" t="s">
        <v>92</v>
      </c>
      <c r="C40" s="212"/>
      <c r="D40" s="103"/>
      <c r="E40" s="103"/>
      <c r="F40" s="103"/>
      <c r="G40" s="103"/>
      <c r="H40" s="103"/>
      <c r="I40" s="103"/>
      <c r="J40" s="104"/>
      <c r="K40" s="104"/>
      <c r="L40" s="104"/>
      <c r="M40" s="104"/>
      <c r="N40" s="104"/>
      <c r="O40" s="104"/>
      <c r="P40" s="104"/>
      <c r="Q40" s="100"/>
      <c r="R40" s="105"/>
    </row>
    <row r="41" spans="2:18" s="64" customFormat="1" ht="38.25" customHeight="1">
      <c r="B41" s="65"/>
      <c r="C41" s="66" t="s">
        <v>217</v>
      </c>
      <c r="D41" s="67" t="s">
        <v>77</v>
      </c>
      <c r="E41" s="67" t="s">
        <v>78</v>
      </c>
      <c r="F41" s="67" t="s">
        <v>79</v>
      </c>
      <c r="G41" s="67" t="s">
        <v>80</v>
      </c>
      <c r="H41" s="67" t="s">
        <v>81</v>
      </c>
      <c r="I41" s="67" t="s">
        <v>82</v>
      </c>
      <c r="J41" s="67" t="s">
        <v>83</v>
      </c>
      <c r="K41" s="67" t="s">
        <v>84</v>
      </c>
      <c r="L41" s="67" t="s">
        <v>85</v>
      </c>
      <c r="M41" s="67" t="s">
        <v>86</v>
      </c>
      <c r="N41" s="67" t="s">
        <v>87</v>
      </c>
      <c r="O41" s="67" t="s">
        <v>88</v>
      </c>
      <c r="P41" s="67" t="s">
        <v>218</v>
      </c>
      <c r="Q41" s="66" t="s">
        <v>219</v>
      </c>
      <c r="R41" s="66" t="s">
        <v>91</v>
      </c>
    </row>
    <row r="42" spans="1:18" s="114" customFormat="1" ht="14.25">
      <c r="A42" s="110">
        <v>1</v>
      </c>
      <c r="B42" s="152" t="s">
        <v>138</v>
      </c>
      <c r="C42" s="112">
        <f>C43+C47+C48+C49+C50+C51+C52+C53+C58</f>
        <v>0</v>
      </c>
      <c r="D42" s="112">
        <f>D43+D47+D48+D49+D50+D51+D52+D53+D58+D54+D55+D56+D57</f>
        <v>0</v>
      </c>
      <c r="E42" s="112">
        <f>E43+E47+E48+E49+E50+E51+E52+E53+E58+E54+E55+E56+E57+F57</f>
        <v>0</v>
      </c>
      <c r="F42" s="112">
        <f aca="true" t="shared" si="8" ref="F42:O42">F43+F47+F48+F49+F50+F51+F52+F53+F58+F54+F55+F56+F57+G57</f>
        <v>0</v>
      </c>
      <c r="G42" s="112">
        <f t="shared" si="8"/>
        <v>0</v>
      </c>
      <c r="H42" s="112">
        <f t="shared" si="8"/>
        <v>0</v>
      </c>
      <c r="I42" s="112">
        <f t="shared" si="8"/>
        <v>137464.64</v>
      </c>
      <c r="J42" s="112">
        <f t="shared" si="8"/>
        <v>137724.59999999998</v>
      </c>
      <c r="K42" s="112">
        <f t="shared" si="8"/>
        <v>145341.31</v>
      </c>
      <c r="L42" s="112">
        <f t="shared" si="8"/>
        <v>134743.34</v>
      </c>
      <c r="M42" s="112">
        <f t="shared" si="8"/>
        <v>143195.29999999996</v>
      </c>
      <c r="N42" s="112">
        <f t="shared" si="8"/>
        <v>143991.11</v>
      </c>
      <c r="O42" s="112">
        <f t="shared" si="8"/>
        <v>143232.02</v>
      </c>
      <c r="P42" s="112">
        <f aca="true" t="shared" si="9" ref="P42:P67">SUM(D42:O42)</f>
        <v>985692.32</v>
      </c>
      <c r="Q42" s="112">
        <f>Q43+Q47+Q48+Q49+Q50+Q51+Q52+Q53+Q58</f>
        <v>751593.1500000001</v>
      </c>
      <c r="R42" s="160">
        <f>C42+P42-Q42</f>
        <v>234099.1699999998</v>
      </c>
    </row>
    <row r="43" spans="1:18" ht="31.5" customHeight="1">
      <c r="A43" s="122"/>
      <c r="B43" s="151" t="s">
        <v>132</v>
      </c>
      <c r="C43" s="165"/>
      <c r="D43" s="165">
        <f>D44+D45+D46</f>
        <v>0</v>
      </c>
      <c r="E43" s="165">
        <f aca="true" t="shared" si="10" ref="E43:R43">E44+E45+E46</f>
        <v>0</v>
      </c>
      <c r="F43" s="165">
        <f t="shared" si="10"/>
        <v>0</v>
      </c>
      <c r="G43" s="165">
        <f t="shared" si="10"/>
        <v>0</v>
      </c>
      <c r="H43" s="165">
        <f t="shared" si="10"/>
        <v>0</v>
      </c>
      <c r="I43" s="165">
        <f t="shared" si="10"/>
        <v>51285.78</v>
      </c>
      <c r="J43" s="165">
        <f t="shared" si="10"/>
        <v>51285.759999999995</v>
      </c>
      <c r="K43" s="165">
        <f t="shared" si="10"/>
        <v>49450.979999999996</v>
      </c>
      <c r="L43" s="165">
        <f t="shared" si="10"/>
        <v>51285.8</v>
      </c>
      <c r="M43" s="165">
        <f t="shared" si="10"/>
        <v>57921.9</v>
      </c>
      <c r="N43" s="165">
        <f>N44+N45+N46</f>
        <v>52521.41</v>
      </c>
      <c r="O43" s="165">
        <f t="shared" si="10"/>
        <v>58638.119999999995</v>
      </c>
      <c r="P43" s="165">
        <f t="shared" si="10"/>
        <v>372389.75000000006</v>
      </c>
      <c r="Q43" s="165">
        <f t="shared" si="10"/>
        <v>313751.63000000006</v>
      </c>
      <c r="R43" s="165">
        <f t="shared" si="10"/>
        <v>58638.11999999999</v>
      </c>
    </row>
    <row r="44" spans="1:18" s="121" customFormat="1" ht="15">
      <c r="A44" s="115"/>
      <c r="B44" s="150" t="s">
        <v>126</v>
      </c>
      <c r="C44" s="166"/>
      <c r="D44" s="166">
        <f>январь!E11</f>
        <v>0</v>
      </c>
      <c r="E44" s="166">
        <f>февраль!E11</f>
        <v>0</v>
      </c>
      <c r="F44" s="166">
        <f>март!E11</f>
        <v>0</v>
      </c>
      <c r="G44" s="166">
        <f>апрель!E11</f>
        <v>0</v>
      </c>
      <c r="H44" s="116">
        <f>май!E11</f>
        <v>0</v>
      </c>
      <c r="I44" s="116">
        <f>июнь!E11</f>
        <v>41468.7</v>
      </c>
      <c r="J44" s="116">
        <f>июль!E11</f>
        <v>41468.7</v>
      </c>
      <c r="K44" s="117">
        <f>август!E11</f>
        <v>39633.89</v>
      </c>
      <c r="L44" s="117">
        <f>сентябрь!E11</f>
        <v>41468.72</v>
      </c>
      <c r="M44" s="117">
        <f>октябрь!E11</f>
        <v>48104.83</v>
      </c>
      <c r="N44" s="117">
        <f>ноябрь!E11</f>
        <v>42704.33</v>
      </c>
      <c r="O44" s="117">
        <f>декабрь!E11</f>
        <v>48821.02</v>
      </c>
      <c r="P44" s="118">
        <f t="shared" si="9"/>
        <v>303670.19000000006</v>
      </c>
      <c r="Q44" s="119">
        <f>P44-O44</f>
        <v>254849.17000000007</v>
      </c>
      <c r="R44" s="154">
        <f aca="true" t="shared" si="11" ref="R44:R107">C44+P44-Q44</f>
        <v>48821.01999999999</v>
      </c>
    </row>
    <row r="45" spans="1:18" s="121" customFormat="1" ht="15">
      <c r="A45" s="115"/>
      <c r="B45" s="150" t="s">
        <v>127</v>
      </c>
      <c r="C45" s="166"/>
      <c r="D45" s="166">
        <f>январь!E12</f>
        <v>0</v>
      </c>
      <c r="E45" s="166">
        <f>февраль!E12</f>
        <v>0</v>
      </c>
      <c r="F45" s="166">
        <f>март!E12</f>
        <v>0</v>
      </c>
      <c r="G45" s="166">
        <f>апрель!E12</f>
        <v>0</v>
      </c>
      <c r="H45" s="116">
        <f>май!E12</f>
        <v>0</v>
      </c>
      <c r="I45" s="116">
        <f>июнь!E12</f>
        <v>9817.08</v>
      </c>
      <c r="J45" s="116">
        <f>июль!E12</f>
        <v>9817.06</v>
      </c>
      <c r="K45" s="117">
        <f>август!E12</f>
        <v>9817.09</v>
      </c>
      <c r="L45" s="117">
        <f>сентябрь!E12</f>
        <v>9817.08</v>
      </c>
      <c r="M45" s="117">
        <f>октябрь!E12</f>
        <v>9817.07</v>
      </c>
      <c r="N45" s="117">
        <f>ноябрь!E12</f>
        <v>9817.08</v>
      </c>
      <c r="O45" s="117">
        <f>декабрь!E12</f>
        <v>9817.1</v>
      </c>
      <c r="P45" s="118">
        <f t="shared" si="9"/>
        <v>68719.56</v>
      </c>
      <c r="Q45" s="119">
        <f>P45-O45</f>
        <v>58902.46</v>
      </c>
      <c r="R45" s="154">
        <f t="shared" si="11"/>
        <v>9817.099999999999</v>
      </c>
    </row>
    <row r="46" spans="1:18" s="121" customFormat="1" ht="15">
      <c r="A46" s="115"/>
      <c r="B46" s="150" t="s">
        <v>133</v>
      </c>
      <c r="C46" s="166"/>
      <c r="D46" s="166">
        <f>январь!E13</f>
        <v>0</v>
      </c>
      <c r="E46" s="166"/>
      <c r="F46" s="166">
        <f>март!E13</f>
        <v>0</v>
      </c>
      <c r="G46" s="166">
        <f>апрель!E13</f>
        <v>0</v>
      </c>
      <c r="H46" s="116">
        <f>май!E13</f>
        <v>0</v>
      </c>
      <c r="I46" s="116">
        <f>июнь!E13</f>
        <v>0</v>
      </c>
      <c r="J46" s="116">
        <f>июль!E13</f>
        <v>0</v>
      </c>
      <c r="K46" s="117">
        <f>август!E13</f>
        <v>0</v>
      </c>
      <c r="L46" s="117">
        <f>сентябрь!E13</f>
        <v>0</v>
      </c>
      <c r="M46" s="117">
        <f>октябрь!E13</f>
        <v>0</v>
      </c>
      <c r="N46" s="117">
        <f>ноябрь!E13</f>
        <v>0</v>
      </c>
      <c r="O46" s="117">
        <f>декабрь!E13</f>
        <v>0</v>
      </c>
      <c r="P46" s="124">
        <f t="shared" si="9"/>
        <v>0</v>
      </c>
      <c r="Q46" s="119"/>
      <c r="R46" s="154">
        <f t="shared" si="11"/>
        <v>0</v>
      </c>
    </row>
    <row r="47" spans="1:18" ht="15">
      <c r="A47" s="122"/>
      <c r="B47" s="155" t="s">
        <v>128</v>
      </c>
      <c r="C47" s="165"/>
      <c r="D47" s="165">
        <f>январь!F28-Свод!D53</f>
        <v>0</v>
      </c>
      <c r="E47" s="165">
        <f>февраль!F28-Свод!E53</f>
        <v>0</v>
      </c>
      <c r="F47" s="165">
        <f>март!F28-F48</f>
        <v>0</v>
      </c>
      <c r="G47" s="166">
        <f>апрель!F28-F48</f>
        <v>0</v>
      </c>
      <c r="H47" s="124">
        <f>май!F28-Свод!H53</f>
        <v>0</v>
      </c>
      <c r="I47" s="124">
        <f>июнь!F28-Свод!I53</f>
        <v>630</v>
      </c>
      <c r="J47" s="125">
        <f>июль!F28-Свод!J53</f>
        <v>855</v>
      </c>
      <c r="K47" s="125">
        <f>август!F28-Свод!K53</f>
        <v>423</v>
      </c>
      <c r="L47" s="125">
        <f>сентябрь!F28-Свод!L53</f>
        <v>398</v>
      </c>
      <c r="M47" s="125">
        <f>октябрь!F28-Свод!M53</f>
        <v>524</v>
      </c>
      <c r="N47" s="125">
        <f>ноябрь!F28-Свод!N53</f>
        <v>5550.48</v>
      </c>
      <c r="O47" s="125">
        <f>декабрь!F28-Свод!O53</f>
        <v>368</v>
      </c>
      <c r="P47" s="124">
        <f t="shared" si="9"/>
        <v>8748.48</v>
      </c>
      <c r="Q47" s="125">
        <f>P47</f>
        <v>8748.48</v>
      </c>
      <c r="R47" s="154">
        <f t="shared" si="11"/>
        <v>0</v>
      </c>
    </row>
    <row r="48" spans="1:18" ht="15">
      <c r="A48" s="122"/>
      <c r="B48" s="155" t="s">
        <v>129</v>
      </c>
      <c r="C48" s="165"/>
      <c r="D48" s="165">
        <f>январь!F14</f>
        <v>0</v>
      </c>
      <c r="E48" s="165">
        <f>февраль!F14</f>
        <v>0</v>
      </c>
      <c r="F48" s="165">
        <f>март!F14</f>
        <v>0</v>
      </c>
      <c r="G48" s="166">
        <f>апрель!F14</f>
        <v>0</v>
      </c>
      <c r="H48" s="124">
        <f>май!G14</f>
        <v>0</v>
      </c>
      <c r="I48" s="124">
        <f>июнь!G14</f>
        <v>250</v>
      </c>
      <c r="J48" s="125">
        <f>июль!G14</f>
        <v>220</v>
      </c>
      <c r="K48" s="125">
        <f>август!G14</f>
        <v>246</v>
      </c>
      <c r="L48" s="125">
        <f>сентябрь!G14</f>
        <v>248</v>
      </c>
      <c r="M48" s="125">
        <f>октябрь!G14</f>
        <v>252</v>
      </c>
      <c r="N48" s="125">
        <f>ноябрь!G14</f>
        <v>430.7</v>
      </c>
      <c r="O48" s="125">
        <f>декабрь!G14</f>
        <v>248</v>
      </c>
      <c r="P48" s="124">
        <f t="shared" si="9"/>
        <v>1894.7</v>
      </c>
      <c r="Q48" s="125">
        <f>P48</f>
        <v>1894.7</v>
      </c>
      <c r="R48" s="154">
        <f t="shared" si="11"/>
        <v>0</v>
      </c>
    </row>
    <row r="49" spans="1:18" ht="15">
      <c r="A49" s="122"/>
      <c r="B49" s="157" t="s">
        <v>21</v>
      </c>
      <c r="C49" s="165"/>
      <c r="D49" s="166">
        <f>январь!E15</f>
        <v>0</v>
      </c>
      <c r="E49" s="165">
        <f>февраль!F15</f>
        <v>0</v>
      </c>
      <c r="F49" s="165">
        <f>март!G15</f>
        <v>0</v>
      </c>
      <c r="G49" s="166">
        <f>апрель!E15</f>
        <v>0</v>
      </c>
      <c r="H49" s="124">
        <f>май!G15</f>
        <v>0</v>
      </c>
      <c r="I49" s="124">
        <f>июнь!G15</f>
        <v>46428.48</v>
      </c>
      <c r="J49" s="125">
        <f>июль!G15</f>
        <v>46428.48</v>
      </c>
      <c r="K49" s="125">
        <f>август!G15</f>
        <v>46428.48</v>
      </c>
      <c r="L49" s="125">
        <f>сентябрь!G15</f>
        <v>46428.48</v>
      </c>
      <c r="M49" s="125">
        <f>октябрь!G15</f>
        <v>46428.48</v>
      </c>
      <c r="N49" s="125">
        <f>ноябрь!G15</f>
        <v>46428.48</v>
      </c>
      <c r="O49" s="125">
        <f>декабрь!G15</f>
        <v>46428.48</v>
      </c>
      <c r="P49" s="124">
        <f t="shared" si="9"/>
        <v>324999.36</v>
      </c>
      <c r="Q49" s="125">
        <f>Q11</f>
        <v>243477.13</v>
      </c>
      <c r="R49" s="154">
        <f t="shared" si="11"/>
        <v>81522.22999999998</v>
      </c>
    </row>
    <row r="50" spans="1:18" ht="15.75">
      <c r="A50" s="122"/>
      <c r="B50" s="77" t="s">
        <v>166</v>
      </c>
      <c r="C50" s="165"/>
      <c r="D50" s="165">
        <f>январь!E16</f>
        <v>0</v>
      </c>
      <c r="E50" s="165">
        <f>февраль!E16</f>
        <v>0</v>
      </c>
      <c r="F50" s="165">
        <f>март!G16</f>
        <v>0</v>
      </c>
      <c r="G50" s="166">
        <f>апрель!E16</f>
        <v>0</v>
      </c>
      <c r="H50" s="124">
        <f>май!G16</f>
        <v>0</v>
      </c>
      <c r="I50" s="124">
        <f>июнь!G16</f>
        <v>26654.9</v>
      </c>
      <c r="J50" s="125">
        <f>июль!G16</f>
        <v>26654.9</v>
      </c>
      <c r="K50" s="125">
        <f>август!G16</f>
        <v>26654.9</v>
      </c>
      <c r="L50" s="125">
        <f>сентябрь!G16</f>
        <v>26654.9</v>
      </c>
      <c r="M50" s="125">
        <f>октябрь!G16</f>
        <v>26654.9</v>
      </c>
      <c r="N50" s="125">
        <f>ноябрь!G16</f>
        <v>26654.9</v>
      </c>
      <c r="O50" s="125">
        <f>декабрь!G16</f>
        <v>26654.9</v>
      </c>
      <c r="P50" s="124">
        <f t="shared" si="9"/>
        <v>186584.3</v>
      </c>
      <c r="Q50" s="125">
        <f>Q10</f>
        <v>128223.79</v>
      </c>
      <c r="R50" s="154">
        <f t="shared" si="11"/>
        <v>58360.509999999995</v>
      </c>
    </row>
    <row r="51" spans="1:18" ht="15">
      <c r="A51" s="122"/>
      <c r="B51" s="155" t="s">
        <v>130</v>
      </c>
      <c r="C51" s="165"/>
      <c r="D51" s="165">
        <f>январь!E17</f>
        <v>0</v>
      </c>
      <c r="E51" s="165">
        <f>февраль!E17</f>
        <v>0</v>
      </c>
      <c r="F51" s="165">
        <f>март!G17</f>
        <v>0</v>
      </c>
      <c r="G51" s="166">
        <f>апрель!E17</f>
        <v>0</v>
      </c>
      <c r="H51" s="124">
        <f>май!G17</f>
        <v>0</v>
      </c>
      <c r="I51" s="124">
        <f>июнь!G17</f>
        <v>931.8</v>
      </c>
      <c r="J51" s="125">
        <f>июль!G17</f>
        <v>931.8</v>
      </c>
      <c r="K51" s="125">
        <f>август!G17</f>
        <v>931.8</v>
      </c>
      <c r="L51" s="125">
        <f>сентябрь!G17</f>
        <v>931.8</v>
      </c>
      <c r="M51" s="125">
        <f>октябрь!G17</f>
        <v>931.8</v>
      </c>
      <c r="N51" s="125">
        <f>ноябрь!G17</f>
        <v>931.8</v>
      </c>
      <c r="O51" s="125">
        <f>декабрь!G17</f>
        <v>931.8</v>
      </c>
      <c r="P51" s="124">
        <f t="shared" si="9"/>
        <v>6522.6</v>
      </c>
      <c r="Q51" s="125">
        <f>P51-O51</f>
        <v>5590.8</v>
      </c>
      <c r="R51" s="154">
        <f t="shared" si="11"/>
        <v>931.8000000000002</v>
      </c>
    </row>
    <row r="52" spans="1:18" ht="15">
      <c r="A52" s="122"/>
      <c r="B52" s="155" t="s">
        <v>131</v>
      </c>
      <c r="C52" s="165"/>
      <c r="D52" s="165">
        <f>январь!E18</f>
        <v>0</v>
      </c>
      <c r="E52" s="165">
        <f>февраль!E18</f>
        <v>0</v>
      </c>
      <c r="F52" s="165">
        <f>март!G18</f>
        <v>0</v>
      </c>
      <c r="G52" s="166">
        <f>апрель!E18</f>
        <v>0</v>
      </c>
      <c r="H52" s="124">
        <f>май!G18</f>
        <v>0</v>
      </c>
      <c r="I52" s="124">
        <f>июнь!G18</f>
        <v>2733.68</v>
      </c>
      <c r="J52" s="125">
        <f>июль!G18</f>
        <v>2244.3</v>
      </c>
      <c r="K52" s="125">
        <f>август!G18</f>
        <v>4356.04</v>
      </c>
      <c r="L52" s="125">
        <f>сентябрь!G18</f>
        <v>1212.29</v>
      </c>
      <c r="M52" s="125">
        <f>октябрь!G18</f>
        <v>579.61</v>
      </c>
      <c r="N52" s="125">
        <f>ноябрь!G18</f>
        <v>1254.07</v>
      </c>
      <c r="O52" s="125">
        <f>декабрь!G18</f>
        <v>4012.7200000000003</v>
      </c>
      <c r="P52" s="124">
        <f t="shared" si="9"/>
        <v>16392.710000000003</v>
      </c>
      <c r="Q52" s="125">
        <f>P52-O52</f>
        <v>12379.990000000002</v>
      </c>
      <c r="R52" s="154">
        <f t="shared" si="11"/>
        <v>4012.720000000001</v>
      </c>
    </row>
    <row r="53" spans="1:18" ht="15">
      <c r="A53" s="122"/>
      <c r="B53" s="157" t="s">
        <v>50</v>
      </c>
      <c r="C53" s="165"/>
      <c r="D53" s="165">
        <f>январь!E19</f>
        <v>0</v>
      </c>
      <c r="E53" s="165">
        <f>февраль!E19</f>
        <v>0</v>
      </c>
      <c r="F53" s="165">
        <f>март!G19</f>
        <v>0</v>
      </c>
      <c r="G53" s="166">
        <f>апрель!E19</f>
        <v>0</v>
      </c>
      <c r="H53" s="124">
        <f>май!G19</f>
        <v>0</v>
      </c>
      <c r="I53" s="124">
        <f>июнь!G19</f>
        <v>5950</v>
      </c>
      <c r="J53" s="125">
        <f>июль!G19</f>
        <v>5950</v>
      </c>
      <c r="K53" s="125">
        <f>август!G19</f>
        <v>5950</v>
      </c>
      <c r="L53" s="125">
        <f>сентябрь!G19</f>
        <v>5950</v>
      </c>
      <c r="M53" s="125">
        <f>октябрь!G19</f>
        <v>5950</v>
      </c>
      <c r="N53" s="125">
        <f>ноябрь!G19</f>
        <v>5950</v>
      </c>
      <c r="O53" s="125">
        <f>декабрь!G19</f>
        <v>5950</v>
      </c>
      <c r="P53" s="124">
        <f t="shared" si="9"/>
        <v>41650</v>
      </c>
      <c r="Q53" s="125">
        <f>Q12</f>
        <v>32326.63</v>
      </c>
      <c r="R53" s="154">
        <f t="shared" si="11"/>
        <v>9323.369999999999</v>
      </c>
    </row>
    <row r="54" spans="1:18" ht="15">
      <c r="A54" s="122"/>
      <c r="B54" s="157" t="s">
        <v>192</v>
      </c>
      <c r="C54" s="165"/>
      <c r="D54" s="165">
        <f>январь!E20</f>
        <v>0</v>
      </c>
      <c r="E54" s="165">
        <f>февраль!E20</f>
        <v>0</v>
      </c>
      <c r="F54" s="165">
        <f>март!G20</f>
        <v>0</v>
      </c>
      <c r="G54" s="166">
        <f>апрель!E20</f>
        <v>0</v>
      </c>
      <c r="H54" s="124">
        <f>май!G20</f>
        <v>0</v>
      </c>
      <c r="I54" s="124">
        <f>июнь!G20</f>
        <v>0</v>
      </c>
      <c r="J54" s="125">
        <f>июль!G20</f>
        <v>554.36</v>
      </c>
      <c r="K54" s="125">
        <f>август!G20</f>
        <v>3771.72</v>
      </c>
      <c r="L54" s="125">
        <f>сентябрь!G20</f>
        <v>0</v>
      </c>
      <c r="M54" s="125">
        <f>октябрь!G20</f>
        <v>888.52</v>
      </c>
      <c r="N54" s="125">
        <f>ноябрь!G20</f>
        <v>2549.36</v>
      </c>
      <c r="O54" s="125">
        <f>декабрь!G20</f>
        <v>0</v>
      </c>
      <c r="P54" s="124">
        <f t="shared" si="9"/>
        <v>7763.960000000001</v>
      </c>
      <c r="Q54" s="125">
        <f>Q5</f>
        <v>2652.41</v>
      </c>
      <c r="R54" s="154">
        <f t="shared" si="11"/>
        <v>5111.550000000001</v>
      </c>
    </row>
    <row r="55" spans="1:18" ht="15">
      <c r="A55" s="122"/>
      <c r="B55" s="157" t="s">
        <v>193</v>
      </c>
      <c r="C55" s="165"/>
      <c r="D55" s="165">
        <f>январь!E21</f>
        <v>0</v>
      </c>
      <c r="E55" s="165">
        <f>февраль!E21</f>
        <v>0</v>
      </c>
      <c r="F55" s="165">
        <f>март!G21</f>
        <v>0</v>
      </c>
      <c r="G55" s="166">
        <f>апрель!E21</f>
        <v>0</v>
      </c>
      <c r="H55" s="124">
        <f>май!G21</f>
        <v>0</v>
      </c>
      <c r="I55" s="124">
        <f>июнь!G21</f>
        <v>0</v>
      </c>
      <c r="J55" s="125">
        <f>июль!G21</f>
        <v>0</v>
      </c>
      <c r="K55" s="125">
        <f>август!G21</f>
        <v>0</v>
      </c>
      <c r="L55" s="125">
        <f>сентябрь!G21</f>
        <v>0</v>
      </c>
      <c r="M55" s="125">
        <f>октябрь!G21</f>
        <v>0</v>
      </c>
      <c r="N55" s="125">
        <f>ноябрь!G21</f>
        <v>0</v>
      </c>
      <c r="O55" s="125">
        <f>декабрь!G21</f>
        <v>0</v>
      </c>
      <c r="P55" s="124">
        <f t="shared" si="9"/>
        <v>0</v>
      </c>
      <c r="Q55" s="125"/>
      <c r="R55" s="154">
        <f t="shared" si="11"/>
        <v>0</v>
      </c>
    </row>
    <row r="56" spans="1:18" ht="15">
      <c r="A56" s="122"/>
      <c r="B56" s="157" t="s">
        <v>194</v>
      </c>
      <c r="C56" s="165"/>
      <c r="D56" s="165">
        <f>январь!E22</f>
        <v>0</v>
      </c>
      <c r="E56" s="165">
        <f>февраль!E22</f>
        <v>0</v>
      </c>
      <c r="F56" s="165">
        <f>март!G22</f>
        <v>0</v>
      </c>
      <c r="G56" s="166">
        <f>апрель!E22</f>
        <v>0</v>
      </c>
      <c r="H56" s="124">
        <f>май!G22</f>
        <v>0</v>
      </c>
      <c r="I56" s="124">
        <f>июнь!G22</f>
        <v>0</v>
      </c>
      <c r="J56" s="125">
        <f>июль!G22</f>
        <v>0</v>
      </c>
      <c r="K56" s="125">
        <f>август!G22</f>
        <v>7128.39</v>
      </c>
      <c r="L56" s="125">
        <f>сентябрь!G22</f>
        <v>1634.07</v>
      </c>
      <c r="M56" s="125">
        <f>октябрь!G22</f>
        <v>3064.09</v>
      </c>
      <c r="N56" s="125">
        <f>ноябрь!G22</f>
        <v>1719.91</v>
      </c>
      <c r="O56" s="125">
        <f>декабрь!G22</f>
        <v>0</v>
      </c>
      <c r="P56" s="124">
        <f t="shared" si="9"/>
        <v>13546.460000000001</v>
      </c>
      <c r="Q56" s="125">
        <f>Q7</f>
        <v>5008.03</v>
      </c>
      <c r="R56" s="154">
        <f t="shared" si="11"/>
        <v>8538.43</v>
      </c>
    </row>
    <row r="57" spans="1:18" ht="15">
      <c r="A57" s="122"/>
      <c r="B57" s="157" t="s">
        <v>195</v>
      </c>
      <c r="C57" s="165"/>
      <c r="D57" s="165">
        <f>январь!E23</f>
        <v>0</v>
      </c>
      <c r="E57" s="165">
        <f>февраль!E23</f>
        <v>0</v>
      </c>
      <c r="F57" s="165">
        <f>март!G23</f>
        <v>0</v>
      </c>
      <c r="G57" s="166">
        <f>апрель!E23</f>
        <v>0</v>
      </c>
      <c r="H57" s="124">
        <f>май!G23</f>
        <v>0</v>
      </c>
      <c r="I57" s="124">
        <f>июнь!G23</f>
        <v>0</v>
      </c>
      <c r="J57" s="125">
        <f>июль!G23</f>
        <v>0</v>
      </c>
      <c r="K57" s="125">
        <f>август!G23</f>
        <v>0</v>
      </c>
      <c r="L57" s="125">
        <f>сентябрь!G23</f>
        <v>0</v>
      </c>
      <c r="M57" s="125">
        <f>октябрь!G23</f>
        <v>0</v>
      </c>
      <c r="N57" s="125">
        <f>ноябрь!G23</f>
        <v>0</v>
      </c>
      <c r="O57" s="125">
        <f>декабрь!G23</f>
        <v>0</v>
      </c>
      <c r="P57" s="124">
        <f t="shared" si="9"/>
        <v>0</v>
      </c>
      <c r="Q57" s="125"/>
      <c r="R57" s="154">
        <f t="shared" si="11"/>
        <v>0</v>
      </c>
    </row>
    <row r="58" spans="1:18" ht="15">
      <c r="A58" s="122"/>
      <c r="B58" s="157" t="s">
        <v>48</v>
      </c>
      <c r="C58" s="165"/>
      <c r="D58" s="169">
        <f>D59+D62</f>
        <v>0</v>
      </c>
      <c r="E58" s="169">
        <f>E59+E62+E60</f>
        <v>0</v>
      </c>
      <c r="F58" s="169">
        <f>F59+F62</f>
        <v>0</v>
      </c>
      <c r="G58" s="169">
        <f>G59+G60+G61</f>
        <v>0</v>
      </c>
      <c r="H58" s="169">
        <f>H59+H62+H60</f>
        <v>0</v>
      </c>
      <c r="I58" s="169">
        <f>I59+I60+I61+I62</f>
        <v>2600</v>
      </c>
      <c r="J58" s="169">
        <f>J59+J62+J60</f>
        <v>2600</v>
      </c>
      <c r="K58" s="169">
        <f>K59+K62+K60</f>
        <v>0</v>
      </c>
      <c r="L58" s="169">
        <f>L59+L62+L60+L63</f>
        <v>0</v>
      </c>
      <c r="M58" s="169">
        <f>M59+M62+M60</f>
        <v>0</v>
      </c>
      <c r="N58" s="169">
        <f>N59+N62+N60+N64</f>
        <v>0</v>
      </c>
      <c r="O58" s="169">
        <f>O59+O62+O60+O65+O66</f>
        <v>0</v>
      </c>
      <c r="P58" s="112">
        <f t="shared" si="9"/>
        <v>5200</v>
      </c>
      <c r="Q58" s="112">
        <f>Q59+Q60+Q61+Q62</f>
        <v>5200</v>
      </c>
      <c r="R58" s="154">
        <f t="shared" si="11"/>
        <v>0</v>
      </c>
    </row>
    <row r="59" spans="1:18" s="132" customFormat="1" ht="15">
      <c r="A59" s="128"/>
      <c r="B59" s="34" t="s">
        <v>164</v>
      </c>
      <c r="C59" s="166"/>
      <c r="D59" s="165">
        <f>январь!E25</f>
        <v>0</v>
      </c>
      <c r="E59" s="165">
        <f>февраль!E25</f>
        <v>0</v>
      </c>
      <c r="F59" s="166">
        <f>март!G25</f>
        <v>0</v>
      </c>
      <c r="G59" s="166">
        <f>апрель!G25</f>
        <v>0</v>
      </c>
      <c r="H59" s="124">
        <f>май!G25</f>
        <v>0</v>
      </c>
      <c r="I59" s="124">
        <f>июнь!G25</f>
        <v>2600</v>
      </c>
      <c r="J59" s="125">
        <f>июль!G25</f>
        <v>2600</v>
      </c>
      <c r="K59" s="125">
        <f>август!G25</f>
        <v>0</v>
      </c>
      <c r="L59" s="125">
        <f>сентябрь!G25</f>
        <v>0</v>
      </c>
      <c r="M59" s="130">
        <f>октябрь!G21</f>
        <v>0</v>
      </c>
      <c r="N59" s="130">
        <f>ноябрь!G21</f>
        <v>0</v>
      </c>
      <c r="O59" s="130">
        <f>декабрь!G21</f>
        <v>0</v>
      </c>
      <c r="P59" s="118">
        <f t="shared" si="9"/>
        <v>5200</v>
      </c>
      <c r="Q59" s="130">
        <f aca="true" t="shared" si="12" ref="Q59:Q65">P59</f>
        <v>5200</v>
      </c>
      <c r="R59" s="167">
        <f t="shared" si="11"/>
        <v>0</v>
      </c>
    </row>
    <row r="60" spans="1:18" s="132" customFormat="1" ht="0.75" customHeight="1">
      <c r="A60" s="128"/>
      <c r="B60" s="34"/>
      <c r="C60" s="166"/>
      <c r="D60" s="165">
        <f>январь!E26</f>
        <v>0</v>
      </c>
      <c r="E60" s="165">
        <f>февраль!E26</f>
        <v>0</v>
      </c>
      <c r="F60" s="166">
        <f>март!G26</f>
        <v>0</v>
      </c>
      <c r="G60" s="166">
        <f>апрель!G26</f>
        <v>0</v>
      </c>
      <c r="H60" s="124">
        <f>май!G26</f>
        <v>0</v>
      </c>
      <c r="I60" s="124">
        <f>июнь!G26</f>
        <v>0</v>
      </c>
      <c r="J60" s="125">
        <f>июль!G26</f>
        <v>0</v>
      </c>
      <c r="K60" s="125">
        <f>август!G26</f>
        <v>0</v>
      </c>
      <c r="L60" s="125">
        <f>сентябрь!G26</f>
        <v>0</v>
      </c>
      <c r="M60" s="130"/>
      <c r="N60" s="130">
        <f>ноябрь!G21</f>
        <v>0</v>
      </c>
      <c r="O60" s="130"/>
      <c r="P60" s="118">
        <f t="shared" si="9"/>
        <v>0</v>
      </c>
      <c r="Q60" s="130">
        <f t="shared" si="12"/>
        <v>0</v>
      </c>
      <c r="R60" s="167">
        <f t="shared" si="11"/>
        <v>0</v>
      </c>
    </row>
    <row r="61" spans="1:18" s="132" customFormat="1" ht="15" hidden="1">
      <c r="A61" s="128"/>
      <c r="B61" s="34"/>
      <c r="C61" s="166"/>
      <c r="D61" s="166"/>
      <c r="E61" s="165">
        <f>февраль!E27</f>
        <v>0</v>
      </c>
      <c r="F61" s="166">
        <f>март!G27</f>
        <v>0</v>
      </c>
      <c r="G61" s="166">
        <f>апрель!G27</f>
        <v>0</v>
      </c>
      <c r="H61" s="124">
        <f>май!G27</f>
        <v>0</v>
      </c>
      <c r="I61" s="124">
        <f>июнь!G27</f>
        <v>0</v>
      </c>
      <c r="J61" s="125">
        <f>июль!G27</f>
        <v>0</v>
      </c>
      <c r="K61" s="125">
        <f>август!G27</f>
        <v>0</v>
      </c>
      <c r="L61" s="125">
        <f>сентябрь!G27</f>
        <v>0</v>
      </c>
      <c r="M61" s="130"/>
      <c r="N61" s="130"/>
      <c r="O61" s="130"/>
      <c r="P61" s="118">
        <f t="shared" si="9"/>
        <v>0</v>
      </c>
      <c r="Q61" s="130">
        <f t="shared" si="12"/>
        <v>0</v>
      </c>
      <c r="R61" s="167">
        <f t="shared" si="11"/>
        <v>0</v>
      </c>
    </row>
    <row r="62" spans="1:18" s="132" customFormat="1" ht="15" hidden="1">
      <c r="A62" s="128"/>
      <c r="B62" s="34"/>
      <c r="C62" s="166"/>
      <c r="D62" s="166"/>
      <c r="E62" s="165"/>
      <c r="F62" s="166"/>
      <c r="G62" s="166"/>
      <c r="H62" s="118"/>
      <c r="I62" s="124">
        <f>июнь!G22</f>
        <v>0</v>
      </c>
      <c r="J62" s="130">
        <f>июль!G22</f>
        <v>0</v>
      </c>
      <c r="K62" s="125"/>
      <c r="L62" s="130"/>
      <c r="M62" s="130"/>
      <c r="N62" s="130"/>
      <c r="O62" s="130"/>
      <c r="P62" s="118">
        <f t="shared" si="9"/>
        <v>0</v>
      </c>
      <c r="Q62" s="130">
        <f t="shared" si="12"/>
        <v>0</v>
      </c>
      <c r="R62" s="167">
        <f t="shared" si="11"/>
        <v>0</v>
      </c>
    </row>
    <row r="63" spans="1:18" s="132" customFormat="1" ht="15" hidden="1">
      <c r="A63" s="128"/>
      <c r="B63" s="192"/>
      <c r="C63" s="166"/>
      <c r="D63" s="166"/>
      <c r="E63" s="165"/>
      <c r="F63" s="166">
        <f>март!G29</f>
        <v>0</v>
      </c>
      <c r="G63" s="166"/>
      <c r="H63" s="118"/>
      <c r="I63" s="124"/>
      <c r="J63" s="130"/>
      <c r="K63" s="125"/>
      <c r="L63" s="130">
        <f>сентябрь!G21</f>
        <v>0</v>
      </c>
      <c r="M63" s="130"/>
      <c r="N63" s="130"/>
      <c r="O63" s="130"/>
      <c r="P63" s="118">
        <f t="shared" si="9"/>
        <v>0</v>
      </c>
      <c r="Q63" s="130">
        <f t="shared" si="12"/>
        <v>0</v>
      </c>
      <c r="R63" s="167">
        <f t="shared" si="11"/>
        <v>0</v>
      </c>
    </row>
    <row r="64" spans="1:18" s="132" customFormat="1" ht="15" hidden="1">
      <c r="A64" s="128"/>
      <c r="B64" s="192"/>
      <c r="C64" s="166"/>
      <c r="D64" s="166"/>
      <c r="E64" s="165"/>
      <c r="F64" s="166">
        <f>март!G30</f>
        <v>0</v>
      </c>
      <c r="G64" s="166"/>
      <c r="H64" s="118"/>
      <c r="I64" s="124"/>
      <c r="J64" s="130"/>
      <c r="K64" s="130"/>
      <c r="L64" s="130"/>
      <c r="M64" s="130"/>
      <c r="N64" s="130"/>
      <c r="O64" s="130"/>
      <c r="P64" s="118">
        <f t="shared" si="9"/>
        <v>0</v>
      </c>
      <c r="Q64" s="130">
        <f t="shared" si="12"/>
        <v>0</v>
      </c>
      <c r="R64" s="167">
        <f t="shared" si="11"/>
        <v>0</v>
      </c>
    </row>
    <row r="65" spans="1:18" s="132" customFormat="1" ht="15" hidden="1">
      <c r="A65" s="128"/>
      <c r="B65" s="192"/>
      <c r="C65" s="166"/>
      <c r="D65" s="166"/>
      <c r="E65" s="166"/>
      <c r="F65" s="166"/>
      <c r="G65" s="166"/>
      <c r="H65" s="118"/>
      <c r="I65" s="124"/>
      <c r="J65" s="130"/>
      <c r="K65" s="130"/>
      <c r="L65" s="130"/>
      <c r="M65" s="130"/>
      <c r="N65" s="130"/>
      <c r="O65" s="130">
        <f>декабрь!G22</f>
        <v>0</v>
      </c>
      <c r="P65" s="118">
        <f t="shared" si="9"/>
        <v>0</v>
      </c>
      <c r="Q65" s="130">
        <f t="shared" si="12"/>
        <v>0</v>
      </c>
      <c r="R65" s="167">
        <f t="shared" si="11"/>
        <v>0</v>
      </c>
    </row>
    <row r="66" spans="1:18" s="132" customFormat="1" ht="15" hidden="1">
      <c r="A66" s="128"/>
      <c r="B66" s="192"/>
      <c r="C66" s="166"/>
      <c r="D66" s="166"/>
      <c r="E66" s="166"/>
      <c r="F66" s="166"/>
      <c r="G66" s="166"/>
      <c r="H66" s="118"/>
      <c r="I66" s="124"/>
      <c r="J66" s="130"/>
      <c r="K66" s="130"/>
      <c r="L66" s="130"/>
      <c r="M66" s="130"/>
      <c r="N66" s="130"/>
      <c r="O66" s="130">
        <f>декабрь!G23</f>
        <v>0</v>
      </c>
      <c r="P66" s="118">
        <f t="shared" si="9"/>
        <v>0</v>
      </c>
      <c r="Q66" s="130">
        <f>P66</f>
        <v>0</v>
      </c>
      <c r="R66" s="167">
        <f t="shared" si="11"/>
        <v>0</v>
      </c>
    </row>
    <row r="67" spans="1:18" s="114" customFormat="1" ht="14.25">
      <c r="A67" s="110">
        <v>2</v>
      </c>
      <c r="B67" s="152" t="s">
        <v>140</v>
      </c>
      <c r="C67" s="112">
        <f>C68+C69+C70+C71+C72</f>
        <v>0</v>
      </c>
      <c r="D67" s="112">
        <f aca="true" t="shared" si="13" ref="D67:Q67">D68+D69+D70+D71+D72</f>
        <v>0</v>
      </c>
      <c r="E67" s="112">
        <f t="shared" si="13"/>
        <v>0</v>
      </c>
      <c r="F67" s="112">
        <f t="shared" si="13"/>
        <v>0</v>
      </c>
      <c r="G67" s="112">
        <f t="shared" si="13"/>
        <v>0</v>
      </c>
      <c r="H67" s="112">
        <f t="shared" si="13"/>
        <v>0</v>
      </c>
      <c r="I67" s="112">
        <f t="shared" si="13"/>
        <v>79334.56999999999</v>
      </c>
      <c r="J67" s="112">
        <f t="shared" si="13"/>
        <v>57188.95</v>
      </c>
      <c r="K67" s="112">
        <f t="shared" si="13"/>
        <v>55839.29000000001</v>
      </c>
      <c r="L67" s="112">
        <f t="shared" si="13"/>
        <v>52771.36</v>
      </c>
      <c r="M67" s="112">
        <f t="shared" si="13"/>
        <v>58490.67</v>
      </c>
      <c r="N67" s="112">
        <f t="shared" si="13"/>
        <v>67527.57</v>
      </c>
      <c r="O67" s="112">
        <f t="shared" si="13"/>
        <v>55636.689999999995</v>
      </c>
      <c r="P67" s="112">
        <f t="shared" si="9"/>
        <v>426789.1</v>
      </c>
      <c r="Q67" s="112">
        <f t="shared" si="13"/>
        <v>374879.31</v>
      </c>
      <c r="R67" s="160">
        <f t="shared" si="11"/>
        <v>51909.78999999998</v>
      </c>
    </row>
    <row r="68" spans="1:18" ht="30">
      <c r="A68" s="122"/>
      <c r="B68" s="151" t="s">
        <v>132</v>
      </c>
      <c r="C68" s="124"/>
      <c r="D68" s="124">
        <f>январь!E32+январь!E33</f>
        <v>0</v>
      </c>
      <c r="E68" s="124">
        <f>февраль!E32+февраль!E33</f>
        <v>0</v>
      </c>
      <c r="F68" s="124">
        <f>март!E32+март!E33</f>
        <v>0</v>
      </c>
      <c r="G68" s="124">
        <f>апрель!E32+апрель!E33</f>
        <v>0</v>
      </c>
      <c r="H68" s="124">
        <f>май!E32+май!E33</f>
        <v>0</v>
      </c>
      <c r="I68" s="124">
        <f>июнь!E32+июнь!E33</f>
        <v>53413.81</v>
      </c>
      <c r="J68" s="124">
        <f>июль!E32+июль!E33</f>
        <v>48144.95</v>
      </c>
      <c r="K68" s="153">
        <f>август!E32+август!E33</f>
        <v>46902.350000000006</v>
      </c>
      <c r="L68" s="153">
        <f>сентябрь!E32+сентябрь!E33</f>
        <v>45480.41</v>
      </c>
      <c r="M68" s="153">
        <f>октябрь!E32+октябрь!E33</f>
        <v>48861.72</v>
      </c>
      <c r="N68" s="153">
        <f>ноябрь!E32+ноябрь!E33</f>
        <v>50495.810000000005</v>
      </c>
      <c r="O68" s="153">
        <f>декабрь!E32+декабрь!E33</f>
        <v>51909.78999999999</v>
      </c>
      <c r="P68" s="124">
        <f>SUM(D68:O68)</f>
        <v>345208.83999999997</v>
      </c>
      <c r="Q68" s="125">
        <f>P68-O68</f>
        <v>293299.05</v>
      </c>
      <c r="R68" s="154">
        <f t="shared" si="11"/>
        <v>51909.78999999998</v>
      </c>
    </row>
    <row r="69" spans="1:18" ht="15">
      <c r="A69" s="122"/>
      <c r="B69" s="155" t="s">
        <v>128</v>
      </c>
      <c r="C69" s="158"/>
      <c r="D69" s="165">
        <f>январь!F39-Свод!D75</f>
        <v>0</v>
      </c>
      <c r="E69" s="165">
        <f>февраль!F39-Свод!E75</f>
        <v>0</v>
      </c>
      <c r="F69" s="165">
        <f>март!F39-Свод!F75</f>
        <v>0</v>
      </c>
      <c r="G69" s="183">
        <f>апрель!F39-Свод!G75</f>
        <v>0</v>
      </c>
      <c r="H69" s="124">
        <f>май!F39-Свод!H75</f>
        <v>0</v>
      </c>
      <c r="I69" s="124">
        <f>июнь!F39-Свод!I75</f>
        <v>17150.86</v>
      </c>
      <c r="J69" s="125">
        <f>июль!F39-Свод!J75</f>
        <v>9044</v>
      </c>
      <c r="K69" s="125">
        <f>август!F39-Свод!K75</f>
        <v>4552</v>
      </c>
      <c r="L69" s="125">
        <f>сентябрь!F39-Свод!L75</f>
        <v>2868</v>
      </c>
      <c r="M69" s="125">
        <f>октябрь!F39-Свод!M75</f>
        <v>5244</v>
      </c>
      <c r="N69" s="125">
        <f>ноябрь!F39-Свод!N75</f>
        <v>12606.8</v>
      </c>
      <c r="O69" s="125">
        <f>декабрь!F39-Свод!O75</f>
        <v>3726.9</v>
      </c>
      <c r="P69" s="124">
        <f>SUM(D69:O69)</f>
        <v>55192.560000000005</v>
      </c>
      <c r="Q69" s="125">
        <f>P69</f>
        <v>55192.560000000005</v>
      </c>
      <c r="R69" s="154">
        <f t="shared" si="11"/>
        <v>0</v>
      </c>
    </row>
    <row r="70" spans="1:18" ht="15" customHeight="1">
      <c r="A70" s="122"/>
      <c r="B70" s="155" t="s">
        <v>129</v>
      </c>
      <c r="C70" s="158"/>
      <c r="D70" s="165">
        <f>январь!F34</f>
        <v>0</v>
      </c>
      <c r="E70" s="165">
        <f>февраль!F30</f>
        <v>0</v>
      </c>
      <c r="F70" s="165">
        <f>март!G34</f>
        <v>0</v>
      </c>
      <c r="G70" s="183">
        <f>апрель!G29</f>
        <v>0</v>
      </c>
      <c r="H70" s="124">
        <f>май!G34</f>
        <v>0</v>
      </c>
      <c r="I70" s="124">
        <f>июнь!G29</f>
        <v>0</v>
      </c>
      <c r="J70" s="125">
        <f>июль!G29</f>
        <v>0</v>
      </c>
      <c r="K70" s="125">
        <f>август!G29</f>
        <v>0</v>
      </c>
      <c r="L70" s="125">
        <f>сентябрь!F34</f>
        <v>38</v>
      </c>
      <c r="M70" s="125">
        <f>октябрь!G29</f>
        <v>0</v>
      </c>
      <c r="N70" s="125">
        <f>ноябрь!F34</f>
        <v>40</v>
      </c>
      <c r="O70" s="189">
        <f>декабрь!G30</f>
        <v>0</v>
      </c>
      <c r="P70" s="124">
        <f>SUM(D70:O70)</f>
        <v>78</v>
      </c>
      <c r="Q70" s="125">
        <f>P70</f>
        <v>78</v>
      </c>
      <c r="R70" s="154">
        <f t="shared" si="11"/>
        <v>0</v>
      </c>
    </row>
    <row r="71" spans="1:18" ht="15">
      <c r="A71" s="122"/>
      <c r="B71" s="155" t="s">
        <v>136</v>
      </c>
      <c r="C71" s="158"/>
      <c r="D71" s="165">
        <f>январь!G35</f>
        <v>0</v>
      </c>
      <c r="E71" s="165">
        <f>февраль!F35</f>
        <v>0</v>
      </c>
      <c r="F71" s="165">
        <f>март!G35</f>
        <v>0</v>
      </c>
      <c r="G71" s="183">
        <f>апрель!G35</f>
        <v>0</v>
      </c>
      <c r="H71" s="124">
        <f>май!G35</f>
        <v>0</v>
      </c>
      <c r="I71" s="124">
        <f>июнь!G35</f>
        <v>8769.9</v>
      </c>
      <c r="J71" s="125">
        <f>июль!G30</f>
        <v>0</v>
      </c>
      <c r="K71" s="125">
        <f>август!G35</f>
        <v>4384.94</v>
      </c>
      <c r="L71" s="125">
        <f>сентябрь!G35</f>
        <v>4384.95</v>
      </c>
      <c r="M71" s="125">
        <f>октябрь!G35</f>
        <v>4384.95</v>
      </c>
      <c r="N71" s="125">
        <f>ноябрь!G35</f>
        <v>4384.96</v>
      </c>
      <c r="O71" s="189">
        <f>декабрь!G30</f>
        <v>0</v>
      </c>
      <c r="P71" s="124">
        <f>SUM(D71:O71)</f>
        <v>26309.7</v>
      </c>
      <c r="Q71" s="125">
        <f>P71</f>
        <v>26309.7</v>
      </c>
      <c r="R71" s="154">
        <f t="shared" si="11"/>
        <v>0</v>
      </c>
    </row>
    <row r="72" spans="1:18" ht="15">
      <c r="A72" s="122"/>
      <c r="B72" s="157" t="s">
        <v>48</v>
      </c>
      <c r="C72" s="124">
        <f>C73+C74+C75</f>
        <v>0</v>
      </c>
      <c r="D72" s="124">
        <f aca="true" t="shared" si="14" ref="D72:Q72">D73+D74+D75</f>
        <v>0</v>
      </c>
      <c r="E72" s="124">
        <f t="shared" si="14"/>
        <v>0</v>
      </c>
      <c r="F72" s="124">
        <f t="shared" si="14"/>
        <v>0</v>
      </c>
      <c r="G72" s="124">
        <f t="shared" si="14"/>
        <v>0</v>
      </c>
      <c r="H72" s="124">
        <f t="shared" si="14"/>
        <v>0</v>
      </c>
      <c r="I72" s="124">
        <f t="shared" si="14"/>
        <v>0</v>
      </c>
      <c r="J72" s="124">
        <f t="shared" si="14"/>
        <v>0</v>
      </c>
      <c r="K72" s="124">
        <f t="shared" si="14"/>
        <v>0</v>
      </c>
      <c r="L72" s="124">
        <f t="shared" si="14"/>
        <v>0</v>
      </c>
      <c r="M72" s="124">
        <f t="shared" si="14"/>
        <v>0</v>
      </c>
      <c r="N72" s="124">
        <f t="shared" si="14"/>
        <v>0</v>
      </c>
      <c r="O72" s="124">
        <f t="shared" si="14"/>
        <v>0</v>
      </c>
      <c r="P72" s="124">
        <f>SUM(D72:O72)</f>
        <v>0</v>
      </c>
      <c r="Q72" s="124">
        <f t="shared" si="14"/>
        <v>0</v>
      </c>
      <c r="R72" s="154">
        <f t="shared" si="11"/>
        <v>0</v>
      </c>
    </row>
    <row r="73" spans="1:18" s="132" customFormat="1" ht="15" hidden="1">
      <c r="A73" s="128"/>
      <c r="B73" s="129"/>
      <c r="C73" s="118"/>
      <c r="D73" s="165">
        <f>январь!G37</f>
        <v>0</v>
      </c>
      <c r="E73" s="165">
        <f>февраль!F37</f>
        <v>0</v>
      </c>
      <c r="F73" s="165">
        <f>март!G37</f>
        <v>0</v>
      </c>
      <c r="G73" s="183">
        <f>апрель!G37</f>
        <v>0</v>
      </c>
      <c r="H73" s="118">
        <f>май!G37</f>
        <v>0</v>
      </c>
      <c r="I73" s="118">
        <f>июнь!G37</f>
        <v>0</v>
      </c>
      <c r="J73" s="130">
        <f>июль!G37</f>
        <v>0</v>
      </c>
      <c r="K73" s="130">
        <f>август!G37</f>
        <v>0</v>
      </c>
      <c r="L73" s="130">
        <f>сентябрь!G37</f>
        <v>0</v>
      </c>
      <c r="M73" s="130">
        <f>октябрь!G37</f>
        <v>0</v>
      </c>
      <c r="N73" s="130">
        <f>ноябрь!G37</f>
        <v>0</v>
      </c>
      <c r="O73" s="118">
        <f>декабрь!G37</f>
        <v>0</v>
      </c>
      <c r="P73" s="118">
        <f aca="true" t="shared" si="15" ref="P73:P100">SUM(D73:O73)</f>
        <v>0</v>
      </c>
      <c r="Q73" s="118"/>
      <c r="R73" s="154">
        <f t="shared" si="11"/>
        <v>0</v>
      </c>
    </row>
    <row r="74" spans="1:18" s="132" customFormat="1" ht="15" hidden="1">
      <c r="A74" s="128"/>
      <c r="B74" s="129"/>
      <c r="C74" s="118"/>
      <c r="D74" s="165">
        <f>январь!G38</f>
        <v>0</v>
      </c>
      <c r="E74" s="165">
        <f>февраль!F38</f>
        <v>0</v>
      </c>
      <c r="F74" s="165">
        <f>март!G38</f>
        <v>0</v>
      </c>
      <c r="G74" s="183">
        <f>апрель!G38</f>
        <v>0</v>
      </c>
      <c r="H74" s="118">
        <f>май!G38</f>
        <v>0</v>
      </c>
      <c r="I74" s="118">
        <f>июнь!G38</f>
        <v>0</v>
      </c>
      <c r="J74" s="130">
        <f>июль!G38</f>
        <v>0</v>
      </c>
      <c r="K74" s="130">
        <f>август!G38</f>
        <v>0</v>
      </c>
      <c r="L74" s="130">
        <f>сентябрь!G38</f>
        <v>0</v>
      </c>
      <c r="M74" s="130">
        <f>октябрь!G38</f>
        <v>0</v>
      </c>
      <c r="N74" s="130">
        <f>ноябрь!G38</f>
        <v>0</v>
      </c>
      <c r="O74" s="118">
        <f>декабрь!G38</f>
        <v>0</v>
      </c>
      <c r="P74" s="118">
        <f t="shared" si="15"/>
        <v>0</v>
      </c>
      <c r="Q74" s="118"/>
      <c r="R74" s="154">
        <f t="shared" si="11"/>
        <v>0</v>
      </c>
    </row>
    <row r="75" spans="1:18" s="132" customFormat="1" ht="15" hidden="1">
      <c r="A75" s="128"/>
      <c r="B75" s="129"/>
      <c r="C75" s="128"/>
      <c r="D75" s="128"/>
      <c r="E75" s="128"/>
      <c r="F75" s="165"/>
      <c r="G75" s="184"/>
      <c r="H75" s="118"/>
      <c r="I75" s="118"/>
      <c r="J75" s="130"/>
      <c r="K75" s="130"/>
      <c r="L75" s="130"/>
      <c r="M75" s="130"/>
      <c r="N75" s="130">
        <v>0</v>
      </c>
      <c r="O75" s="118">
        <v>0</v>
      </c>
      <c r="P75" s="118">
        <f t="shared" si="15"/>
        <v>0</v>
      </c>
      <c r="Q75" s="118"/>
      <c r="R75" s="154">
        <f t="shared" si="11"/>
        <v>0</v>
      </c>
    </row>
    <row r="76" spans="1:22" s="114" customFormat="1" ht="14.25">
      <c r="A76" s="110">
        <v>3</v>
      </c>
      <c r="B76" s="163" t="s">
        <v>139</v>
      </c>
      <c r="C76" s="169"/>
      <c r="D76" s="169">
        <f aca="true" t="shared" si="16" ref="D76:Q76">D77+D78+D79+D80</f>
        <v>0</v>
      </c>
      <c r="E76" s="169">
        <f t="shared" si="16"/>
        <v>0</v>
      </c>
      <c r="F76" s="169">
        <f t="shared" si="16"/>
        <v>0</v>
      </c>
      <c r="G76" s="169">
        <f t="shared" si="16"/>
        <v>0</v>
      </c>
      <c r="H76" s="169">
        <f t="shared" si="16"/>
        <v>0</v>
      </c>
      <c r="I76" s="169">
        <f t="shared" si="16"/>
        <v>7817.07</v>
      </c>
      <c r="J76" s="169">
        <f t="shared" si="16"/>
        <v>4789.06</v>
      </c>
      <c r="K76" s="169">
        <f t="shared" si="16"/>
        <v>30533.86</v>
      </c>
      <c r="L76" s="169">
        <f t="shared" si="16"/>
        <v>4524.51</v>
      </c>
      <c r="M76" s="169">
        <f t="shared" si="16"/>
        <v>78897.11</v>
      </c>
      <c r="N76" s="169">
        <f t="shared" si="16"/>
        <v>14147.630000000001</v>
      </c>
      <c r="O76" s="169">
        <f t="shared" si="16"/>
        <v>22241.54</v>
      </c>
      <c r="P76" s="112">
        <f t="shared" si="15"/>
        <v>162950.78000000003</v>
      </c>
      <c r="Q76" s="169">
        <f t="shared" si="16"/>
        <v>157657.44</v>
      </c>
      <c r="R76" s="160">
        <f t="shared" si="11"/>
        <v>5293.340000000026</v>
      </c>
      <c r="T76" s="113"/>
      <c r="V76" s="113"/>
    </row>
    <row r="77" spans="1:18" ht="15" customHeight="1">
      <c r="A77" s="122"/>
      <c r="B77" s="151" t="s">
        <v>132</v>
      </c>
      <c r="C77" s="124"/>
      <c r="D77" s="169">
        <f>январь!E43</f>
        <v>0</v>
      </c>
      <c r="E77" s="169">
        <f>февраль!E43</f>
        <v>0</v>
      </c>
      <c r="F77" s="124">
        <f>март!E43</f>
        <v>0</v>
      </c>
      <c r="G77" s="124">
        <f>апрель!E43</f>
        <v>0</v>
      </c>
      <c r="H77" s="124">
        <f>май!E43</f>
        <v>0</v>
      </c>
      <c r="I77" s="124">
        <f>июнь!E43</f>
        <v>5094.1</v>
      </c>
      <c r="J77" s="124">
        <f>июль!E43</f>
        <v>4789.06</v>
      </c>
      <c r="K77" s="124">
        <f>август!E43</f>
        <v>3848.86</v>
      </c>
      <c r="L77" s="124">
        <f>сентябрь!E43</f>
        <v>4524.51</v>
      </c>
      <c r="M77" s="124">
        <f>октябрь!E43</f>
        <v>4497.11</v>
      </c>
      <c r="N77" s="124">
        <f>ноябрь!E43</f>
        <v>3980.03</v>
      </c>
      <c r="O77" s="124">
        <f>декабрь!E43</f>
        <v>5293.34</v>
      </c>
      <c r="P77" s="124">
        <f t="shared" si="15"/>
        <v>32027.01</v>
      </c>
      <c r="Q77" s="125">
        <f>P77-O77</f>
        <v>26733.67</v>
      </c>
      <c r="R77" s="154">
        <f t="shared" si="11"/>
        <v>5293.34</v>
      </c>
    </row>
    <row r="78" spans="1:22" ht="15">
      <c r="A78" s="122"/>
      <c r="B78" s="155" t="s">
        <v>128</v>
      </c>
      <c r="C78" s="124"/>
      <c r="D78" s="169">
        <f>январь!E44</f>
        <v>0</v>
      </c>
      <c r="E78" s="169">
        <f>февраль!E44</f>
        <v>0</v>
      </c>
      <c r="F78" s="124">
        <f>март!F43</f>
        <v>0</v>
      </c>
      <c r="G78" s="124">
        <f>апрель!E44</f>
        <v>0</v>
      </c>
      <c r="H78" s="124">
        <f>май!F48-Свод!H84</f>
        <v>0</v>
      </c>
      <c r="I78" s="124">
        <f>июнь!F48-Свод!I84</f>
        <v>2722.97</v>
      </c>
      <c r="J78" s="124">
        <f>июль!F38</f>
        <v>0</v>
      </c>
      <c r="K78" s="125">
        <f>август!F49-Свод!K84</f>
        <v>185</v>
      </c>
      <c r="L78" s="125">
        <f>сентябрь!F43-Свод!L84</f>
        <v>0</v>
      </c>
      <c r="M78" s="125">
        <f>октябрь!F43-Свод!M84</f>
        <v>300</v>
      </c>
      <c r="N78" s="125">
        <f>ноябрь!F43-Свод!N84</f>
        <v>10167.6</v>
      </c>
      <c r="O78" s="125">
        <f>декабрь!F43-Свод!O84</f>
        <v>4648.2</v>
      </c>
      <c r="P78" s="124">
        <f t="shared" si="15"/>
        <v>18023.77</v>
      </c>
      <c r="Q78" s="125">
        <f>P78</f>
        <v>18023.77</v>
      </c>
      <c r="R78" s="154">
        <f t="shared" si="11"/>
        <v>0</v>
      </c>
      <c r="V78" s="126"/>
    </row>
    <row r="79" spans="1:18" ht="15">
      <c r="A79" s="122"/>
      <c r="B79" s="155" t="s">
        <v>129</v>
      </c>
      <c r="C79" s="124"/>
      <c r="D79" s="169">
        <f>январь!E44</f>
        <v>0</v>
      </c>
      <c r="E79" s="169">
        <f>февраль!E45</f>
        <v>0</v>
      </c>
      <c r="F79" s="124">
        <f>март!E45</f>
        <v>0</v>
      </c>
      <c r="G79" s="124">
        <f>апрель!E45</f>
        <v>0</v>
      </c>
      <c r="H79" s="124">
        <f>май!G45</f>
        <v>0</v>
      </c>
      <c r="I79" s="124">
        <f>июнь!G45</f>
        <v>0</v>
      </c>
      <c r="J79" s="125">
        <f>июль!G45</f>
        <v>0</v>
      </c>
      <c r="K79" s="125">
        <f>август!G45</f>
        <v>0</v>
      </c>
      <c r="L79" s="125">
        <f>сентябрь!G45</f>
        <v>0</v>
      </c>
      <c r="M79" s="125">
        <f>октябрь!G45</f>
        <v>0</v>
      </c>
      <c r="N79" s="125">
        <f>ноябрь!G45</f>
        <v>0</v>
      </c>
      <c r="O79" s="124">
        <f>декабрь!E45</f>
        <v>0</v>
      </c>
      <c r="P79" s="124">
        <f t="shared" si="15"/>
        <v>0</v>
      </c>
      <c r="Q79" s="125">
        <f>P79</f>
        <v>0</v>
      </c>
      <c r="R79" s="154">
        <f t="shared" si="11"/>
        <v>0</v>
      </c>
    </row>
    <row r="80" spans="1:18" ht="15">
      <c r="A80" s="122"/>
      <c r="B80" s="157" t="s">
        <v>48</v>
      </c>
      <c r="C80" s="124"/>
      <c r="D80" s="124">
        <f aca="true" t="shared" si="17" ref="D80:N80">D81+D82</f>
        <v>0</v>
      </c>
      <c r="E80" s="124">
        <f t="shared" si="17"/>
        <v>0</v>
      </c>
      <c r="F80" s="124">
        <f t="shared" si="17"/>
        <v>0</v>
      </c>
      <c r="G80" s="124">
        <f>апрель!E46</f>
        <v>0</v>
      </c>
      <c r="H80" s="124">
        <f t="shared" si="17"/>
        <v>0</v>
      </c>
      <c r="I80" s="124">
        <f t="shared" si="17"/>
        <v>0</v>
      </c>
      <c r="J80" s="124">
        <f t="shared" si="17"/>
        <v>0</v>
      </c>
      <c r="K80" s="124">
        <f>K81+K82+K83+K84+K85</f>
        <v>26500</v>
      </c>
      <c r="L80" s="124">
        <f>L81+L82+L83</f>
        <v>0</v>
      </c>
      <c r="M80" s="124">
        <f>M81+M82+M83</f>
        <v>74100</v>
      </c>
      <c r="N80" s="124">
        <f t="shared" si="17"/>
        <v>0</v>
      </c>
      <c r="O80" s="124">
        <f>декабрь!E46</f>
        <v>12300</v>
      </c>
      <c r="P80" s="124">
        <f t="shared" si="15"/>
        <v>112900</v>
      </c>
      <c r="Q80" s="124">
        <f>Q81+Q82+Q83+Q84+Q85</f>
        <v>112900</v>
      </c>
      <c r="R80" s="154">
        <f t="shared" si="11"/>
        <v>0</v>
      </c>
    </row>
    <row r="81" spans="1:18" s="133" customFormat="1" ht="15" hidden="1">
      <c r="A81" s="134"/>
      <c r="B81" s="135"/>
      <c r="C81" s="44"/>
      <c r="D81" s="44">
        <f>январь!E46</f>
        <v>0</v>
      </c>
      <c r="E81" s="44">
        <f>февраль!E46</f>
        <v>0</v>
      </c>
      <c r="F81" s="118">
        <f>март!G41</f>
        <v>0</v>
      </c>
      <c r="G81" s="118">
        <f>апрель!G41</f>
        <v>0</v>
      </c>
      <c r="H81" s="118">
        <f>май!G41</f>
        <v>0</v>
      </c>
      <c r="I81" s="118"/>
      <c r="J81" s="130">
        <f>июль!G41</f>
        <v>0</v>
      </c>
      <c r="K81" s="130"/>
      <c r="L81" s="130">
        <f>сентябрь!G41</f>
        <v>0</v>
      </c>
      <c r="M81" s="125"/>
      <c r="N81" s="130">
        <f>ноябрь!G46</f>
        <v>0</v>
      </c>
      <c r="O81" s="124">
        <f>декабрь!E47</f>
        <v>0</v>
      </c>
      <c r="P81" s="118">
        <f t="shared" si="15"/>
        <v>0</v>
      </c>
      <c r="Q81" s="130">
        <f>P81</f>
        <v>0</v>
      </c>
      <c r="R81" s="154">
        <f t="shared" si="11"/>
        <v>0</v>
      </c>
    </row>
    <row r="82" spans="1:18" s="202" customFormat="1" ht="15">
      <c r="A82" s="201"/>
      <c r="B82" s="129" t="s">
        <v>208</v>
      </c>
      <c r="C82" s="118"/>
      <c r="D82" s="118"/>
      <c r="E82" s="118"/>
      <c r="F82" s="118"/>
      <c r="G82" s="118"/>
      <c r="H82" s="118"/>
      <c r="I82" s="118"/>
      <c r="J82" s="130"/>
      <c r="K82" s="130"/>
      <c r="L82" s="130"/>
      <c r="M82" s="130">
        <f>октябрь!G46</f>
        <v>74100</v>
      </c>
      <c r="N82" s="130">
        <f>октябрь!H46</f>
        <v>0</v>
      </c>
      <c r="O82" s="118">
        <f>декабрь!E46</f>
        <v>12300</v>
      </c>
      <c r="P82" s="118">
        <f t="shared" si="15"/>
        <v>86400</v>
      </c>
      <c r="Q82" s="130">
        <f>P82</f>
        <v>86400</v>
      </c>
      <c r="R82" s="167">
        <f t="shared" si="11"/>
        <v>0</v>
      </c>
    </row>
    <row r="83" spans="1:18" s="202" customFormat="1" ht="15">
      <c r="A83" s="201"/>
      <c r="B83" s="200" t="s">
        <v>167</v>
      </c>
      <c r="C83" s="118"/>
      <c r="D83" s="118"/>
      <c r="E83" s="118"/>
      <c r="F83" s="118"/>
      <c r="G83" s="118"/>
      <c r="H83" s="118"/>
      <c r="I83" s="118"/>
      <c r="J83" s="130"/>
      <c r="K83" s="130">
        <f>август!G46</f>
        <v>3000</v>
      </c>
      <c r="L83" s="130"/>
      <c r="M83" s="130">
        <f>октябрь!G41</f>
        <v>0</v>
      </c>
      <c r="N83" s="130"/>
      <c r="O83" s="118">
        <f>декабрь!E49</f>
        <v>0</v>
      </c>
      <c r="P83" s="118">
        <f t="shared" si="15"/>
        <v>3000</v>
      </c>
      <c r="Q83" s="130">
        <f>P83</f>
        <v>3000</v>
      </c>
      <c r="R83" s="167">
        <f t="shared" si="11"/>
        <v>0</v>
      </c>
    </row>
    <row r="84" spans="1:18" s="202" customFormat="1" ht="15">
      <c r="A84" s="201"/>
      <c r="B84" s="200" t="s">
        <v>214</v>
      </c>
      <c r="C84" s="118"/>
      <c r="D84" s="118"/>
      <c r="E84" s="118"/>
      <c r="F84" s="118"/>
      <c r="G84" s="118"/>
      <c r="H84" s="118"/>
      <c r="I84" s="118"/>
      <c r="J84" s="130"/>
      <c r="K84" s="130">
        <f>август!G47</f>
        <v>21000</v>
      </c>
      <c r="L84" s="130"/>
      <c r="M84" s="130"/>
      <c r="N84" s="130"/>
      <c r="O84" s="130"/>
      <c r="P84" s="118">
        <f t="shared" si="15"/>
        <v>21000</v>
      </c>
      <c r="Q84" s="130">
        <f>P84</f>
        <v>21000</v>
      </c>
      <c r="R84" s="167">
        <f t="shared" si="11"/>
        <v>0</v>
      </c>
    </row>
    <row r="85" spans="1:18" s="202" customFormat="1" ht="15">
      <c r="A85" s="201"/>
      <c r="B85" s="200" t="s">
        <v>215</v>
      </c>
      <c r="C85" s="118"/>
      <c r="D85" s="118"/>
      <c r="E85" s="118"/>
      <c r="F85" s="118"/>
      <c r="G85" s="118"/>
      <c r="H85" s="118"/>
      <c r="I85" s="118"/>
      <c r="J85" s="130"/>
      <c r="K85" s="130">
        <f>август!G48</f>
        <v>2500</v>
      </c>
      <c r="L85" s="130"/>
      <c r="M85" s="130"/>
      <c r="N85" s="130"/>
      <c r="O85" s="130"/>
      <c r="P85" s="118">
        <f t="shared" si="15"/>
        <v>2500</v>
      </c>
      <c r="Q85" s="130">
        <f>P85</f>
        <v>2500</v>
      </c>
      <c r="R85" s="167">
        <f t="shared" si="11"/>
        <v>0</v>
      </c>
    </row>
    <row r="86" spans="1:18" s="175" customFormat="1" ht="28.5">
      <c r="A86" s="110">
        <v>4</v>
      </c>
      <c r="B86" s="172" t="s">
        <v>142</v>
      </c>
      <c r="C86" s="173"/>
      <c r="D86" s="169">
        <f>январь!E52</f>
        <v>0</v>
      </c>
      <c r="E86" s="169">
        <f>февраль!E52</f>
        <v>0</v>
      </c>
      <c r="F86" s="169">
        <f>март!E52</f>
        <v>0</v>
      </c>
      <c r="G86" s="169">
        <f>апрель!E52</f>
        <v>0</v>
      </c>
      <c r="H86" s="112">
        <f>май!E52</f>
        <v>0</v>
      </c>
      <c r="I86" s="112">
        <f>июнь!E52</f>
        <v>28574.17</v>
      </c>
      <c r="J86" s="139">
        <f>июль!E52</f>
        <v>28574.17</v>
      </c>
      <c r="K86" s="139">
        <f>август!E53</f>
        <v>28574.17</v>
      </c>
      <c r="L86" s="139">
        <f>сентябрь!E52</f>
        <v>28574.17</v>
      </c>
      <c r="M86" s="139">
        <f>октябрь!E52</f>
        <v>28574.17</v>
      </c>
      <c r="N86" s="139">
        <f>ноябрь!E52</f>
        <v>28574.17</v>
      </c>
      <c r="O86" s="139">
        <f>декабрь!E52</f>
        <v>28574.17</v>
      </c>
      <c r="P86" s="112">
        <f t="shared" si="15"/>
        <v>200019.18999999994</v>
      </c>
      <c r="Q86" s="139">
        <f>P86-O86</f>
        <v>171445.01999999996</v>
      </c>
      <c r="R86" s="160">
        <f t="shared" si="11"/>
        <v>28574.169999999984</v>
      </c>
    </row>
    <row r="87" spans="1:18" s="175" customFormat="1" ht="14.25">
      <c r="A87" s="138">
        <v>5</v>
      </c>
      <c r="B87" s="163" t="s">
        <v>143</v>
      </c>
      <c r="C87" s="173"/>
      <c r="D87" s="169">
        <f>январь!E53</f>
        <v>0</v>
      </c>
      <c r="E87" s="169">
        <f>февраль!E53</f>
        <v>0</v>
      </c>
      <c r="F87" s="169">
        <f>март!E53</f>
        <v>0</v>
      </c>
      <c r="G87" s="169">
        <f>апрель!E53</f>
        <v>0</v>
      </c>
      <c r="H87" s="112">
        <f>май!E53</f>
        <v>0</v>
      </c>
      <c r="I87" s="112">
        <f>июнь!E53</f>
        <v>5026.24</v>
      </c>
      <c r="J87" s="139">
        <f>июль!E53</f>
        <v>5026.24</v>
      </c>
      <c r="K87" s="139">
        <f>август!E54</f>
        <v>5026.24</v>
      </c>
      <c r="L87" s="139">
        <f>сентябрь!E53</f>
        <v>5026.24</v>
      </c>
      <c r="M87" s="139">
        <f>октябрь!E53</f>
        <v>5026.24</v>
      </c>
      <c r="N87" s="139">
        <f>ноябрь!E53</f>
        <v>5026.24</v>
      </c>
      <c r="O87" s="139">
        <f>декабрь!E53</f>
        <v>5026.24</v>
      </c>
      <c r="P87" s="112">
        <f t="shared" si="15"/>
        <v>35183.67999999999</v>
      </c>
      <c r="Q87" s="139">
        <f>P87-O87</f>
        <v>30157.439999999995</v>
      </c>
      <c r="R87" s="160">
        <f t="shared" si="11"/>
        <v>5026.239999999998</v>
      </c>
    </row>
    <row r="88" spans="1:18" s="175" customFormat="1" ht="14.25">
      <c r="A88" s="138">
        <v>6</v>
      </c>
      <c r="B88" s="163" t="s">
        <v>144</v>
      </c>
      <c r="C88" s="173"/>
      <c r="D88" s="169">
        <f>январь!E54</f>
        <v>0</v>
      </c>
      <c r="E88" s="169">
        <f>февраль!E54</f>
        <v>0</v>
      </c>
      <c r="F88" s="169">
        <f>март!E54</f>
        <v>0</v>
      </c>
      <c r="G88" s="169">
        <f>апрель!E54</f>
        <v>0</v>
      </c>
      <c r="H88" s="112">
        <f>май!E54</f>
        <v>0</v>
      </c>
      <c r="I88" s="112">
        <f>июнь!E54</f>
        <v>2638.78</v>
      </c>
      <c r="J88" s="139">
        <f>июль!E54</f>
        <v>2638.78</v>
      </c>
      <c r="K88" s="139">
        <f>август!E55</f>
        <v>2638.78</v>
      </c>
      <c r="L88" s="139">
        <f>сентябрь!E54</f>
        <v>2638.78</v>
      </c>
      <c r="M88" s="139">
        <f>октябрь!E54</f>
        <v>2638.78</v>
      </c>
      <c r="N88" s="139">
        <f>ноябрь!E54</f>
        <v>2638.78</v>
      </c>
      <c r="O88" s="139">
        <f>декабрь!E54</f>
        <v>2638.78</v>
      </c>
      <c r="P88" s="112">
        <f t="shared" si="15"/>
        <v>18471.460000000003</v>
      </c>
      <c r="Q88" s="139">
        <f>P88-O88</f>
        <v>15832.680000000002</v>
      </c>
      <c r="R88" s="160">
        <f t="shared" si="11"/>
        <v>2638.7800000000007</v>
      </c>
    </row>
    <row r="89" spans="1:19" s="175" customFormat="1" ht="14.25">
      <c r="A89" s="138">
        <v>7</v>
      </c>
      <c r="B89" s="163" t="s">
        <v>44</v>
      </c>
      <c r="C89" s="173"/>
      <c r="D89" s="169">
        <f>январь!E55</f>
        <v>0</v>
      </c>
      <c r="E89" s="169">
        <f>февраль!E55</f>
        <v>0</v>
      </c>
      <c r="F89" s="169">
        <f>март!E55</f>
        <v>0</v>
      </c>
      <c r="G89" s="169">
        <f>апрель!E55</f>
        <v>0</v>
      </c>
      <c r="H89" s="112">
        <f>май!E55</f>
        <v>0</v>
      </c>
      <c r="I89" s="112">
        <f>июнь!E55</f>
        <v>3886.97</v>
      </c>
      <c r="J89" s="139">
        <f>июль!E55</f>
        <v>4396.55</v>
      </c>
      <c r="K89" s="139">
        <f>август!E56</f>
        <v>3916.37</v>
      </c>
      <c r="L89" s="139">
        <f>сентябрь!E55</f>
        <v>4033.54</v>
      </c>
      <c r="M89" s="139">
        <f>октябрь!E55</f>
        <v>6129.68</v>
      </c>
      <c r="N89" s="139">
        <f>ноябрь!E55</f>
        <v>5672.75</v>
      </c>
      <c r="O89" s="139">
        <f>декабрь!E55</f>
        <v>4369.43</v>
      </c>
      <c r="P89" s="112">
        <f t="shared" si="15"/>
        <v>32405.29</v>
      </c>
      <c r="Q89" s="139">
        <f>P89</f>
        <v>32405.29</v>
      </c>
      <c r="R89" s="160">
        <f t="shared" si="11"/>
        <v>0</v>
      </c>
      <c r="S89" s="111"/>
    </row>
    <row r="90" spans="1:19" s="175" customFormat="1" ht="14.25">
      <c r="A90" s="138">
        <v>8</v>
      </c>
      <c r="B90" s="163" t="s">
        <v>141</v>
      </c>
      <c r="C90" s="169">
        <f>C91+C92+C93+C94+C95+C96+C97+C98</f>
        <v>0</v>
      </c>
      <c r="D90" s="169">
        <f aca="true" t="shared" si="18" ref="D90:Q90">D91+D92+D93+D94+D95+D96+D97+D98</f>
        <v>0</v>
      </c>
      <c r="E90" s="169">
        <f t="shared" si="18"/>
        <v>0</v>
      </c>
      <c r="F90" s="169">
        <f t="shared" si="18"/>
        <v>0</v>
      </c>
      <c r="G90" s="169">
        <f t="shared" si="18"/>
        <v>0</v>
      </c>
      <c r="H90" s="169">
        <f t="shared" si="18"/>
        <v>0</v>
      </c>
      <c r="I90" s="169">
        <f t="shared" si="18"/>
        <v>10584.77</v>
      </c>
      <c r="J90" s="169">
        <f t="shared" si="18"/>
        <v>8587.42</v>
      </c>
      <c r="K90" s="169">
        <f t="shared" si="18"/>
        <v>10045.6</v>
      </c>
      <c r="L90" s="169">
        <f t="shared" si="18"/>
        <v>7463.37</v>
      </c>
      <c r="M90" s="169">
        <f t="shared" si="18"/>
        <v>7015.64</v>
      </c>
      <c r="N90" s="169">
        <f t="shared" si="18"/>
        <v>7783.96</v>
      </c>
      <c r="O90" s="169">
        <f t="shared" si="18"/>
        <v>8661.26</v>
      </c>
      <c r="P90" s="112">
        <f t="shared" si="15"/>
        <v>60142.020000000004</v>
      </c>
      <c r="Q90" s="169">
        <f t="shared" si="18"/>
        <v>60142.02</v>
      </c>
      <c r="R90" s="160">
        <f t="shared" si="11"/>
        <v>0</v>
      </c>
      <c r="S90" s="164"/>
    </row>
    <row r="91" spans="1:19" s="178" customFormat="1" ht="15">
      <c r="A91" s="136"/>
      <c r="B91" s="176" t="s">
        <v>62</v>
      </c>
      <c r="C91" s="118"/>
      <c r="D91" s="166">
        <f>январь!E57</f>
        <v>0</v>
      </c>
      <c r="E91" s="166">
        <f>февраль!E57</f>
        <v>0</v>
      </c>
      <c r="F91" s="166">
        <f>март!E57</f>
        <v>0</v>
      </c>
      <c r="G91" s="166">
        <f>апрель!E57</f>
        <v>0</v>
      </c>
      <c r="H91" s="118">
        <f>май!E57</f>
        <v>0</v>
      </c>
      <c r="I91" s="118">
        <f>июнь!E57</f>
        <v>3473.84</v>
      </c>
      <c r="J91" s="130">
        <f>июль!E57</f>
        <v>3137.03</v>
      </c>
      <c r="K91" s="130">
        <f>август!E58</f>
        <v>1653.31</v>
      </c>
      <c r="L91" s="130">
        <f>сентябрь!E57</f>
        <v>1426.49</v>
      </c>
      <c r="M91" s="130">
        <f>октябрь!E57</f>
        <v>1493.02</v>
      </c>
      <c r="N91" s="130">
        <f>ноябрь!E57</f>
        <v>1226.91</v>
      </c>
      <c r="O91" s="130">
        <f>декабрь!E57</f>
        <v>1918.1</v>
      </c>
      <c r="P91" s="118">
        <f t="shared" si="15"/>
        <v>14328.7</v>
      </c>
      <c r="Q91" s="118">
        <f>P91</f>
        <v>14328.7</v>
      </c>
      <c r="R91" s="167">
        <f t="shared" si="11"/>
        <v>0</v>
      </c>
      <c r="S91" s="137"/>
    </row>
    <row r="92" spans="1:19" s="178" customFormat="1" ht="15">
      <c r="A92" s="136"/>
      <c r="B92" s="176" t="s">
        <v>145</v>
      </c>
      <c r="C92" s="118"/>
      <c r="D92" s="166">
        <f>январь!E58</f>
        <v>0</v>
      </c>
      <c r="E92" s="166">
        <f>февраль!E58</f>
        <v>0</v>
      </c>
      <c r="F92" s="166">
        <f>март!E58</f>
        <v>0</v>
      </c>
      <c r="G92" s="166">
        <f>апрель!E58</f>
        <v>0</v>
      </c>
      <c r="H92" s="118">
        <f>май!E58</f>
        <v>0</v>
      </c>
      <c r="I92" s="118">
        <f>июнь!E58</f>
        <v>961.73</v>
      </c>
      <c r="J92" s="130">
        <f>июль!E58</f>
        <v>248.39</v>
      </c>
      <c r="K92" s="130">
        <f>август!E59</f>
        <v>708.76</v>
      </c>
      <c r="L92" s="130">
        <f>сентябрь!E58</f>
        <v>809.22</v>
      </c>
      <c r="M92" s="130">
        <f>октябрь!E58</f>
        <v>1216.92</v>
      </c>
      <c r="N92" s="130">
        <f>ноябрь!E58</f>
        <v>791.22</v>
      </c>
      <c r="O92" s="130">
        <f>декабрь!E58</f>
        <v>1282.73</v>
      </c>
      <c r="P92" s="118">
        <f t="shared" si="15"/>
        <v>6018.969999999999</v>
      </c>
      <c r="Q92" s="118">
        <f aca="true" t="shared" si="19" ref="Q92:Q98">P92</f>
        <v>6018.969999999999</v>
      </c>
      <c r="R92" s="167">
        <f t="shared" si="11"/>
        <v>0</v>
      </c>
      <c r="S92" s="137"/>
    </row>
    <row r="93" spans="1:18" s="178" customFormat="1" ht="30">
      <c r="A93" s="136"/>
      <c r="B93" s="176" t="s">
        <v>64</v>
      </c>
      <c r="C93" s="118"/>
      <c r="D93" s="166">
        <f>январь!E59</f>
        <v>0</v>
      </c>
      <c r="E93" s="166">
        <f>февраль!E59</f>
        <v>0</v>
      </c>
      <c r="F93" s="166">
        <f>март!E59</f>
        <v>0</v>
      </c>
      <c r="G93" s="166">
        <f>апрель!E59</f>
        <v>0</v>
      </c>
      <c r="H93" s="118">
        <f>май!E59</f>
        <v>0</v>
      </c>
      <c r="I93" s="118">
        <f>июнь!E59</f>
        <v>3459.62</v>
      </c>
      <c r="J93" s="130">
        <f>июль!E59</f>
        <v>2499.24</v>
      </c>
      <c r="K93" s="130">
        <f>август!E60</f>
        <v>2989.78</v>
      </c>
      <c r="L93" s="130">
        <f>сентябрь!E59</f>
        <v>1499.28</v>
      </c>
      <c r="M93" s="130">
        <f>октябрь!E59</f>
        <v>1868.9099999999999</v>
      </c>
      <c r="N93" s="130">
        <f>ноябрь!E59</f>
        <v>2186.1</v>
      </c>
      <c r="O93" s="130">
        <f>декабрь!E59</f>
        <v>2048.74</v>
      </c>
      <c r="P93" s="118">
        <f t="shared" si="15"/>
        <v>16551.67</v>
      </c>
      <c r="Q93" s="118">
        <f t="shared" si="19"/>
        <v>16551.67</v>
      </c>
      <c r="R93" s="167">
        <f t="shared" si="11"/>
        <v>0</v>
      </c>
    </row>
    <row r="94" spans="1:18" s="178" customFormat="1" ht="15">
      <c r="A94" s="136"/>
      <c r="B94" s="176" t="s">
        <v>69</v>
      </c>
      <c r="C94" s="118"/>
      <c r="D94" s="166">
        <f>январь!E60</f>
        <v>0</v>
      </c>
      <c r="E94" s="166">
        <f>февраль!E60</f>
        <v>0</v>
      </c>
      <c r="F94" s="166">
        <f>март!E60</f>
        <v>0</v>
      </c>
      <c r="G94" s="166">
        <f>апрель!E60</f>
        <v>0</v>
      </c>
      <c r="H94" s="118">
        <f>май!E60</f>
        <v>0</v>
      </c>
      <c r="I94" s="118">
        <f>июнь!E60</f>
        <v>1788.79</v>
      </c>
      <c r="J94" s="130">
        <f>июль!E60</f>
        <v>1788.79</v>
      </c>
      <c r="K94" s="130">
        <f>август!E61</f>
        <v>1992.11</v>
      </c>
      <c r="L94" s="130">
        <f>сентябрь!E60</f>
        <v>1992.11</v>
      </c>
      <c r="M94" s="130">
        <f>октябрь!E60</f>
        <v>1788.79</v>
      </c>
      <c r="N94" s="130">
        <f>ноябрь!E60</f>
        <v>1992.11</v>
      </c>
      <c r="O94" s="130">
        <f>декабрь!E60</f>
        <v>1992.11</v>
      </c>
      <c r="P94" s="118">
        <f t="shared" si="15"/>
        <v>13334.810000000001</v>
      </c>
      <c r="Q94" s="118">
        <f t="shared" si="19"/>
        <v>13334.810000000001</v>
      </c>
      <c r="R94" s="167">
        <f t="shared" si="11"/>
        <v>0</v>
      </c>
    </row>
    <row r="95" spans="1:18" s="178" customFormat="1" ht="15">
      <c r="A95" s="136"/>
      <c r="B95" s="176" t="s">
        <v>74</v>
      </c>
      <c r="C95" s="118"/>
      <c r="D95" s="166">
        <f>январь!E61</f>
        <v>0</v>
      </c>
      <c r="E95" s="166">
        <f>февраль!E61</f>
        <v>0</v>
      </c>
      <c r="F95" s="166">
        <f>март!E61</f>
        <v>0</v>
      </c>
      <c r="G95" s="166">
        <f>апрель!E61</f>
        <v>0</v>
      </c>
      <c r="H95" s="118">
        <f>май!E61</f>
        <v>0</v>
      </c>
      <c r="I95" s="118">
        <f>июнь!E61</f>
        <v>0</v>
      </c>
      <c r="J95" s="130">
        <f>июль!E61</f>
        <v>0</v>
      </c>
      <c r="K95" s="130">
        <f>август!E62</f>
        <v>0</v>
      </c>
      <c r="L95" s="130">
        <f>сентябрь!E61</f>
        <v>0</v>
      </c>
      <c r="M95" s="130">
        <f>октябрь!E61</f>
        <v>0</v>
      </c>
      <c r="N95" s="130">
        <f>ноябрь!E61</f>
        <v>0</v>
      </c>
      <c r="O95" s="130">
        <f>декабрь!E61</f>
        <v>0</v>
      </c>
      <c r="P95" s="118">
        <f t="shared" si="15"/>
        <v>0</v>
      </c>
      <c r="Q95" s="118">
        <f t="shared" si="19"/>
        <v>0</v>
      </c>
      <c r="R95" s="167">
        <f t="shared" si="11"/>
        <v>0</v>
      </c>
    </row>
    <row r="96" spans="1:18" s="178" customFormat="1" ht="15">
      <c r="A96" s="136"/>
      <c r="B96" s="176" t="s">
        <v>72</v>
      </c>
      <c r="C96" s="118"/>
      <c r="D96" s="166">
        <f>январь!E62</f>
        <v>0</v>
      </c>
      <c r="E96" s="166">
        <f>февраль!E62</f>
        <v>0</v>
      </c>
      <c r="F96" s="166">
        <f>март!E62</f>
        <v>0</v>
      </c>
      <c r="G96" s="166">
        <f>апрель!E62</f>
        <v>0</v>
      </c>
      <c r="H96" s="118">
        <f>май!E62</f>
        <v>0</v>
      </c>
      <c r="I96" s="118">
        <f>июнь!E62</f>
        <v>854.79</v>
      </c>
      <c r="J96" s="130">
        <f>июль!E62</f>
        <v>854.79</v>
      </c>
      <c r="K96" s="130">
        <f>август!E63</f>
        <v>2576.39</v>
      </c>
      <c r="L96" s="130">
        <f>сентябрь!E62</f>
        <v>1582.59</v>
      </c>
      <c r="M96" s="130">
        <f>октябрь!E62</f>
        <v>581.19</v>
      </c>
      <c r="N96" s="130">
        <f>ноябрь!E62</f>
        <v>1518.31</v>
      </c>
      <c r="O96" s="130">
        <f>декабрь!E62</f>
        <v>1349.65</v>
      </c>
      <c r="P96" s="118">
        <f t="shared" si="15"/>
        <v>9317.71</v>
      </c>
      <c r="Q96" s="118">
        <f t="shared" si="19"/>
        <v>9317.71</v>
      </c>
      <c r="R96" s="167">
        <f t="shared" si="11"/>
        <v>0</v>
      </c>
    </row>
    <row r="97" spans="1:18" s="178" customFormat="1" ht="12.75" customHeight="1">
      <c r="A97" s="136"/>
      <c r="B97" s="176" t="s">
        <v>75</v>
      </c>
      <c r="C97" s="118"/>
      <c r="D97" s="166">
        <f>январь!E63</f>
        <v>0</v>
      </c>
      <c r="E97" s="166">
        <f>февраль!E63</f>
        <v>0</v>
      </c>
      <c r="F97" s="166">
        <f>март!E63</f>
        <v>0</v>
      </c>
      <c r="G97" s="166">
        <f>апрель!E63</f>
        <v>0</v>
      </c>
      <c r="H97" s="118">
        <f>май!E63</f>
        <v>0</v>
      </c>
      <c r="I97" s="118">
        <f>июнь!E63</f>
        <v>46</v>
      </c>
      <c r="J97" s="130">
        <f>июль!E63</f>
        <v>59.18</v>
      </c>
      <c r="K97" s="130">
        <f>август!E64</f>
        <v>125.25</v>
      </c>
      <c r="L97" s="130">
        <f>сентябрь!E63</f>
        <v>153.68</v>
      </c>
      <c r="M97" s="130">
        <f>октябрь!E63</f>
        <v>66.81</v>
      </c>
      <c r="N97" s="130">
        <f>ноябрь!E63</f>
        <v>69.31</v>
      </c>
      <c r="O97" s="130">
        <f>декабрь!E63</f>
        <v>69.93</v>
      </c>
      <c r="P97" s="118">
        <f t="shared" si="15"/>
        <v>590.1600000000001</v>
      </c>
      <c r="Q97" s="118">
        <f t="shared" si="19"/>
        <v>590.1600000000001</v>
      </c>
      <c r="R97" s="167">
        <f t="shared" si="11"/>
        <v>0</v>
      </c>
    </row>
    <row r="98" spans="1:18" s="178" customFormat="1" ht="15">
      <c r="A98" s="136"/>
      <c r="B98" s="176" t="s">
        <v>76</v>
      </c>
      <c r="C98" s="118"/>
      <c r="D98" s="166">
        <f>январь!E64</f>
        <v>0</v>
      </c>
      <c r="E98" s="166">
        <f>февраль!E64</f>
        <v>0</v>
      </c>
      <c r="F98" s="166">
        <f>март!E64</f>
        <v>0</v>
      </c>
      <c r="G98" s="166">
        <f>апрель!E64</f>
        <v>0</v>
      </c>
      <c r="H98" s="118">
        <f>май!E64</f>
        <v>0</v>
      </c>
      <c r="I98" s="118">
        <f>июнь!E64</f>
        <v>0</v>
      </c>
      <c r="J98" s="130">
        <f>июль!E64</f>
        <v>0</v>
      </c>
      <c r="K98" s="130">
        <f>август!E65</f>
        <v>0</v>
      </c>
      <c r="L98" s="130">
        <f>сентябрь!E64</f>
        <v>0</v>
      </c>
      <c r="M98" s="130">
        <f>октябрь!E64</f>
        <v>0</v>
      </c>
      <c r="N98" s="130">
        <f>ноябрь!E64</f>
        <v>0</v>
      </c>
      <c r="O98" s="130">
        <f>декабрь!E64</f>
        <v>0</v>
      </c>
      <c r="P98" s="118">
        <f t="shared" si="15"/>
        <v>0</v>
      </c>
      <c r="Q98" s="118">
        <f t="shared" si="19"/>
        <v>0</v>
      </c>
      <c r="R98" s="167">
        <f t="shared" si="11"/>
        <v>0</v>
      </c>
    </row>
    <row r="99" spans="1:18" s="188" customFormat="1" ht="17.25" customHeight="1">
      <c r="A99" s="185"/>
      <c r="B99" s="179" t="s">
        <v>55</v>
      </c>
      <c r="C99" s="186"/>
      <c r="D99" s="166">
        <f>январь!E67</f>
        <v>0</v>
      </c>
      <c r="E99" s="166">
        <f>февраль!E67</f>
        <v>0</v>
      </c>
      <c r="F99" s="169">
        <f>март!E67</f>
        <v>0</v>
      </c>
      <c r="G99" s="112">
        <f>апрель!E67</f>
        <v>0</v>
      </c>
      <c r="H99" s="112">
        <f>май!E67</f>
        <v>0</v>
      </c>
      <c r="I99" s="112">
        <v>0</v>
      </c>
      <c r="J99" s="112">
        <f>июль!E67</f>
        <v>6717.13</v>
      </c>
      <c r="K99" s="112">
        <f>август!E68</f>
        <v>5946.56</v>
      </c>
      <c r="L99" s="112">
        <f>сентябрь!E67</f>
        <v>6743.12</v>
      </c>
      <c r="M99" s="112">
        <f>октябрь!E67</f>
        <v>7422.56</v>
      </c>
      <c r="N99" s="112">
        <f>ноябрь!E67</f>
        <v>6348.36</v>
      </c>
      <c r="O99" s="112">
        <f>декабрь!E67</f>
        <v>6578.78</v>
      </c>
      <c r="P99" s="112">
        <f t="shared" si="15"/>
        <v>39756.51</v>
      </c>
      <c r="Q99" s="112">
        <f>P99-O99</f>
        <v>33177.73</v>
      </c>
      <c r="R99" s="160">
        <f t="shared" si="11"/>
        <v>6578.779999999999</v>
      </c>
    </row>
    <row r="100" spans="1:18" s="114" customFormat="1" ht="14.25">
      <c r="A100" s="138"/>
      <c r="B100" s="111" t="s">
        <v>146</v>
      </c>
      <c r="C100" s="112"/>
      <c r="D100" s="112">
        <f aca="true" t="shared" si="20" ref="D100:Q100">D90+D89+D88+D87+D86+D76+D67+D42+D99</f>
        <v>0</v>
      </c>
      <c r="E100" s="112">
        <f t="shared" si="20"/>
        <v>0</v>
      </c>
      <c r="F100" s="112">
        <f t="shared" si="20"/>
        <v>0</v>
      </c>
      <c r="G100" s="112">
        <f t="shared" si="20"/>
        <v>0</v>
      </c>
      <c r="H100" s="112">
        <f t="shared" si="20"/>
        <v>0</v>
      </c>
      <c r="I100" s="112">
        <f t="shared" si="20"/>
        <v>275327.21</v>
      </c>
      <c r="J100" s="112">
        <f t="shared" si="20"/>
        <v>255642.89999999997</v>
      </c>
      <c r="K100" s="112">
        <f t="shared" si="20"/>
        <v>287862.18</v>
      </c>
      <c r="L100" s="112">
        <f t="shared" si="20"/>
        <v>246518.43</v>
      </c>
      <c r="M100" s="112">
        <f t="shared" si="20"/>
        <v>337390.14999999997</v>
      </c>
      <c r="N100" s="112">
        <f t="shared" si="20"/>
        <v>281710.56999999995</v>
      </c>
      <c r="O100" s="112">
        <f t="shared" si="20"/>
        <v>276958.91000000003</v>
      </c>
      <c r="P100" s="112">
        <f t="shared" si="15"/>
        <v>1961410.35</v>
      </c>
      <c r="Q100" s="112">
        <f t="shared" si="20"/>
        <v>1627290.08</v>
      </c>
      <c r="R100" s="160">
        <f t="shared" si="11"/>
        <v>334120.27</v>
      </c>
    </row>
    <row r="101" spans="2:18" s="140" customFormat="1" ht="15">
      <c r="B101" s="140" t="s">
        <v>114</v>
      </c>
      <c r="C101" s="124"/>
      <c r="D101" s="124">
        <f aca="true" t="shared" si="21" ref="D101:O101">D19-D100</f>
        <v>0</v>
      </c>
      <c r="E101" s="124">
        <f t="shared" si="21"/>
        <v>0</v>
      </c>
      <c r="F101" s="124">
        <f t="shared" si="21"/>
        <v>0</v>
      </c>
      <c r="G101" s="124">
        <f t="shared" si="21"/>
        <v>0</v>
      </c>
      <c r="H101" s="124">
        <f t="shared" si="21"/>
        <v>0</v>
      </c>
      <c r="I101" s="124">
        <f t="shared" si="21"/>
        <v>49526.73000000004</v>
      </c>
      <c r="J101" s="124">
        <f t="shared" si="21"/>
        <v>126429.71000000008</v>
      </c>
      <c r="K101" s="124">
        <f t="shared" si="21"/>
        <v>11342.860000000044</v>
      </c>
      <c r="L101" s="124">
        <f t="shared" si="21"/>
        <v>52567.610000000044</v>
      </c>
      <c r="M101" s="124">
        <f t="shared" si="21"/>
        <v>-85969.50999999995</v>
      </c>
      <c r="N101" s="124">
        <f t="shared" si="21"/>
        <v>9813.790000000037</v>
      </c>
      <c r="O101" s="124">
        <f t="shared" si="21"/>
        <v>-4421.330000000016</v>
      </c>
      <c r="P101" s="124">
        <f>P19-P100</f>
        <v>159289.85999999987</v>
      </c>
      <c r="Q101" s="124"/>
      <c r="R101" s="154">
        <f>C101+P101</f>
        <v>159289.85999999987</v>
      </c>
    </row>
    <row r="102" spans="2:18" s="76" customFormat="1" ht="15.75">
      <c r="B102" s="206" t="s">
        <v>102</v>
      </c>
      <c r="C102" s="207"/>
      <c r="D102" s="89"/>
      <c r="E102" s="89"/>
      <c r="F102" s="89"/>
      <c r="G102" s="89"/>
      <c r="H102" s="89"/>
      <c r="I102" s="89"/>
      <c r="J102" s="90"/>
      <c r="K102" s="90"/>
      <c r="L102" s="90"/>
      <c r="M102" s="90"/>
      <c r="N102" s="90"/>
      <c r="O102" s="90"/>
      <c r="P102" s="124"/>
      <c r="Q102" s="90"/>
      <c r="R102" s="154"/>
    </row>
    <row r="103" spans="1:18" ht="15">
      <c r="A103" s="122"/>
      <c r="B103" s="123" t="s">
        <v>56</v>
      </c>
      <c r="C103" s="124"/>
      <c r="D103" s="124">
        <f>январь!E70</f>
        <v>0</v>
      </c>
      <c r="E103" s="124">
        <f>февраль!E70</f>
        <v>0</v>
      </c>
      <c r="F103" s="124">
        <f>март!E70</f>
        <v>0</v>
      </c>
      <c r="G103" s="124">
        <f>апрель!E70</f>
        <v>0</v>
      </c>
      <c r="H103" s="124">
        <f>май!E70</f>
        <v>0</v>
      </c>
      <c r="I103" s="124">
        <f>июнь!E70</f>
        <v>62353.62</v>
      </c>
      <c r="J103" s="125">
        <f>июль!E70</f>
        <v>71947.04</v>
      </c>
      <c r="K103" s="125">
        <f>август!E71</f>
        <v>69756.66</v>
      </c>
      <c r="L103" s="125">
        <f>сентябрь!E70</f>
        <v>76578.18</v>
      </c>
      <c r="M103" s="125">
        <f>октябрь!E70</f>
        <v>93224.48</v>
      </c>
      <c r="N103" s="125">
        <f>ноябрь!E70</f>
        <v>76228.8</v>
      </c>
      <c r="O103" s="125">
        <f>декабрь!E70</f>
        <v>81401.96</v>
      </c>
      <c r="P103" s="124">
        <f>SUM(D103:O103)</f>
        <v>531490.74</v>
      </c>
      <c r="Q103" s="125">
        <f>Q24+Q8</f>
        <v>379572.94</v>
      </c>
      <c r="R103" s="154">
        <f t="shared" si="11"/>
        <v>151917.8</v>
      </c>
    </row>
    <row r="104" spans="1:18" ht="15">
      <c r="A104" s="122"/>
      <c r="B104" s="123" t="s">
        <v>106</v>
      </c>
      <c r="C104" s="124"/>
      <c r="D104" s="124">
        <f>январь!E71</f>
        <v>0</v>
      </c>
      <c r="E104" s="124">
        <f>февраль!E71</f>
        <v>0</v>
      </c>
      <c r="F104" s="124">
        <f>март!E71</f>
        <v>0</v>
      </c>
      <c r="G104" s="124">
        <f>апрель!E71</f>
        <v>0</v>
      </c>
      <c r="H104" s="124">
        <f>май!E71</f>
        <v>0</v>
      </c>
      <c r="I104" s="124">
        <f>июнь!E71</f>
        <v>0</v>
      </c>
      <c r="J104" s="125">
        <f>июль!E71</f>
        <v>0</v>
      </c>
      <c r="K104" s="125">
        <f>август!E72</f>
        <v>0</v>
      </c>
      <c r="L104" s="125">
        <f>сентябрь!E71</f>
        <v>21053.66</v>
      </c>
      <c r="M104" s="125">
        <f>октябрь!E71</f>
        <v>159207.39</v>
      </c>
      <c r="N104" s="125">
        <f>ноябрь!E71</f>
        <v>219558.57</v>
      </c>
      <c r="O104" s="125">
        <f>декабрь!E71</f>
        <v>322370.02</v>
      </c>
      <c r="P104" s="124">
        <f>SUM(D104:O104)</f>
        <v>722189.64</v>
      </c>
      <c r="Q104" s="125">
        <f>Q25+Q32</f>
        <v>332278.94</v>
      </c>
      <c r="R104" s="154">
        <f t="shared" si="11"/>
        <v>389910.7</v>
      </c>
    </row>
    <row r="105" spans="1:18" ht="15">
      <c r="A105" s="122"/>
      <c r="B105" s="123" t="s">
        <v>58</v>
      </c>
      <c r="C105" s="124"/>
      <c r="D105" s="124">
        <f>январь!E72</f>
        <v>0</v>
      </c>
      <c r="E105" s="124">
        <f>февраль!E72</f>
        <v>0</v>
      </c>
      <c r="F105" s="124">
        <f>март!E72</f>
        <v>0</v>
      </c>
      <c r="G105" s="124">
        <f>апрель!E72</f>
        <v>0</v>
      </c>
      <c r="H105" s="124">
        <f>май!E72</f>
        <v>0</v>
      </c>
      <c r="I105" s="124">
        <f>июнь!E72</f>
        <v>29678.23</v>
      </c>
      <c r="J105" s="125">
        <f>июль!E72</f>
        <v>24384.56</v>
      </c>
      <c r="K105" s="125">
        <f>август!E73</f>
        <v>31671.39</v>
      </c>
      <c r="L105" s="125">
        <f>сентябрь!E72</f>
        <v>35322.07</v>
      </c>
      <c r="M105" s="125">
        <f>октябрь!E72</f>
        <v>32189.49</v>
      </c>
      <c r="N105" s="125">
        <f>ноябрь!E72</f>
        <v>35539.99</v>
      </c>
      <c r="O105" s="125">
        <f>декабрь!E72</f>
        <v>30856.51</v>
      </c>
      <c r="P105" s="124">
        <f>SUM(D105:O105)</f>
        <v>219642.24</v>
      </c>
      <c r="Q105" s="125">
        <f>Q26</f>
        <v>167949.05</v>
      </c>
      <c r="R105" s="154">
        <f t="shared" si="11"/>
        <v>51693.19</v>
      </c>
    </row>
    <row r="106" spans="1:18" ht="15">
      <c r="A106" s="122" t="s">
        <v>95</v>
      </c>
      <c r="B106" s="123" t="s">
        <v>109</v>
      </c>
      <c r="C106" s="124"/>
      <c r="D106" s="124">
        <f>январь!E73</f>
        <v>0</v>
      </c>
      <c r="E106" s="124">
        <f>февраль!E73</f>
        <v>0</v>
      </c>
      <c r="F106" s="124">
        <f>март!E73</f>
        <v>0</v>
      </c>
      <c r="G106" s="124">
        <f>апрель!E73</f>
        <v>0</v>
      </c>
      <c r="H106" s="124">
        <f>май!E73</f>
        <v>0</v>
      </c>
      <c r="I106" s="124">
        <f>июнь!E73</f>
        <v>19168.09</v>
      </c>
      <c r="J106" s="125">
        <f>июль!E73</f>
        <v>20689.64</v>
      </c>
      <c r="K106" s="125">
        <f>август!E74</f>
        <v>21756.71</v>
      </c>
      <c r="L106" s="125">
        <f>сентябрь!E73</f>
        <v>22466.22</v>
      </c>
      <c r="M106" s="125">
        <f>октябрь!E73</f>
        <v>24370.74</v>
      </c>
      <c r="N106" s="125">
        <f>ноябрь!E73</f>
        <v>21339.54</v>
      </c>
      <c r="O106" s="125">
        <f>декабрь!E73</f>
        <v>26742.27</v>
      </c>
      <c r="P106" s="124">
        <f>SUM(D106:O106)</f>
        <v>156533.21</v>
      </c>
      <c r="Q106" s="125">
        <f>Q22</f>
        <v>95078.41</v>
      </c>
      <c r="R106" s="154">
        <f t="shared" si="11"/>
        <v>61454.79999999999</v>
      </c>
    </row>
    <row r="107" spans="1:18" ht="15">
      <c r="A107" s="122"/>
      <c r="B107" s="123" t="s">
        <v>60</v>
      </c>
      <c r="C107" s="124"/>
      <c r="D107" s="124">
        <f>январь!E74</f>
        <v>0</v>
      </c>
      <c r="E107" s="124">
        <f>февраль!E74</f>
        <v>0</v>
      </c>
      <c r="F107" s="124">
        <f>март!E74</f>
        <v>0</v>
      </c>
      <c r="G107" s="124">
        <f>апрель!E74</f>
        <v>0</v>
      </c>
      <c r="H107" s="124">
        <f>май!E74</f>
        <v>0</v>
      </c>
      <c r="I107" s="124">
        <f>июнь!E74</f>
        <v>20822.780000000002</v>
      </c>
      <c r="J107" s="125">
        <f>июль!E74</f>
        <v>19026.93</v>
      </c>
      <c r="K107" s="125">
        <f>август!E75</f>
        <v>25091.63</v>
      </c>
      <c r="L107" s="125">
        <f>сентябрь!E74</f>
        <v>24177.13</v>
      </c>
      <c r="M107" s="125">
        <f>октябрь!E74</f>
        <v>25240.73</v>
      </c>
      <c r="N107" s="125">
        <f>ноябрь!E74</f>
        <v>24867.35</v>
      </c>
      <c r="O107" s="125">
        <f>декабрь!E74</f>
        <v>25733.81</v>
      </c>
      <c r="P107" s="124">
        <f>SUM(D107:O107)</f>
        <v>164960.36000000002</v>
      </c>
      <c r="Q107" s="125">
        <f>Q23+Q6</f>
        <v>104955.05</v>
      </c>
      <c r="R107" s="154">
        <f t="shared" si="11"/>
        <v>60005.31000000001</v>
      </c>
    </row>
    <row r="108" spans="1:18" s="114" customFormat="1" ht="14.25">
      <c r="A108" s="138"/>
      <c r="B108" s="111" t="s">
        <v>147</v>
      </c>
      <c r="C108" s="112">
        <f aca="true" t="shared" si="22" ref="C108:Q108">SUM(C103:C107)</f>
        <v>0</v>
      </c>
      <c r="D108" s="112">
        <f t="shared" si="22"/>
        <v>0</v>
      </c>
      <c r="E108" s="112">
        <f t="shared" si="22"/>
        <v>0</v>
      </c>
      <c r="F108" s="112">
        <f t="shared" si="22"/>
        <v>0</v>
      </c>
      <c r="G108" s="112">
        <f t="shared" si="22"/>
        <v>0</v>
      </c>
      <c r="H108" s="112">
        <f t="shared" si="22"/>
        <v>0</v>
      </c>
      <c r="I108" s="112">
        <f t="shared" si="22"/>
        <v>132022.72</v>
      </c>
      <c r="J108" s="112">
        <f t="shared" si="22"/>
        <v>136048.16999999998</v>
      </c>
      <c r="K108" s="112">
        <f t="shared" si="22"/>
        <v>148276.39</v>
      </c>
      <c r="L108" s="112">
        <f t="shared" si="22"/>
        <v>179597.26</v>
      </c>
      <c r="M108" s="112">
        <f t="shared" si="22"/>
        <v>334232.82999999996</v>
      </c>
      <c r="N108" s="112">
        <f t="shared" si="22"/>
        <v>377534.24999999994</v>
      </c>
      <c r="O108" s="112">
        <f t="shared" si="22"/>
        <v>487104.57000000007</v>
      </c>
      <c r="P108" s="112">
        <f t="shared" si="22"/>
        <v>1794816.19</v>
      </c>
      <c r="Q108" s="112">
        <f t="shared" si="22"/>
        <v>1079834.39</v>
      </c>
      <c r="R108" s="160">
        <f>C108+P108-Q108</f>
        <v>714981.8</v>
      </c>
    </row>
    <row r="109" spans="2:18" s="140" customFormat="1" ht="15">
      <c r="B109" s="140" t="s">
        <v>114</v>
      </c>
      <c r="C109" s="141"/>
      <c r="D109" s="141" t="e">
        <f aca="true" t="shared" si="23" ref="D109:Q109">D33-D108</f>
        <v>#REF!</v>
      </c>
      <c r="E109" s="141" t="e">
        <f t="shared" si="23"/>
        <v>#REF!</v>
      </c>
      <c r="F109" s="141" t="e">
        <f t="shared" si="23"/>
        <v>#REF!</v>
      </c>
      <c r="G109" s="141" t="e">
        <f t="shared" si="23"/>
        <v>#REF!</v>
      </c>
      <c r="H109" s="141" t="e">
        <f t="shared" si="23"/>
        <v>#REF!</v>
      </c>
      <c r="I109" s="141">
        <f t="shared" si="23"/>
        <v>11762.26999999999</v>
      </c>
      <c r="J109" s="141">
        <f t="shared" si="23"/>
        <v>3027.6300000000047</v>
      </c>
      <c r="K109" s="141">
        <f t="shared" si="23"/>
        <v>-8138.040000000008</v>
      </c>
      <c r="L109" s="141">
        <f t="shared" si="23"/>
        <v>6365.720000000001</v>
      </c>
      <c r="M109" s="141">
        <f t="shared" si="23"/>
        <v>5887.9700000000885</v>
      </c>
      <c r="N109" s="141">
        <f t="shared" si="23"/>
        <v>-3564.289999999921</v>
      </c>
      <c r="O109" s="141">
        <f t="shared" si="23"/>
        <v>-3462.1200000000536</v>
      </c>
      <c r="P109" s="141">
        <f t="shared" si="23"/>
        <v>11879.139999999898</v>
      </c>
      <c r="Q109" s="141">
        <f t="shared" si="23"/>
        <v>12265.669999999925</v>
      </c>
      <c r="R109" s="154">
        <f>C109+P109</f>
        <v>11879.139999999898</v>
      </c>
    </row>
    <row r="110" spans="1:18" s="114" customFormat="1" ht="14.25">
      <c r="A110" s="138"/>
      <c r="B110" s="111" t="s">
        <v>115</v>
      </c>
      <c r="C110" s="112"/>
      <c r="D110" s="112">
        <f>D100+D108</f>
        <v>0</v>
      </c>
      <c r="E110" s="112">
        <f aca="true" t="shared" si="24" ref="D110:Q111">E100+E108</f>
        <v>0</v>
      </c>
      <c r="F110" s="112">
        <f t="shared" si="24"/>
        <v>0</v>
      </c>
      <c r="G110" s="112">
        <f t="shared" si="24"/>
        <v>0</v>
      </c>
      <c r="H110" s="112">
        <f t="shared" si="24"/>
        <v>0</v>
      </c>
      <c r="I110" s="112">
        <f t="shared" si="24"/>
        <v>407349.93000000005</v>
      </c>
      <c r="J110" s="112">
        <f t="shared" si="24"/>
        <v>391691.06999999995</v>
      </c>
      <c r="K110" s="112">
        <f t="shared" si="24"/>
        <v>436138.57</v>
      </c>
      <c r="L110" s="112">
        <f t="shared" si="24"/>
        <v>426115.69</v>
      </c>
      <c r="M110" s="112">
        <f t="shared" si="24"/>
        <v>671622.98</v>
      </c>
      <c r="N110" s="112">
        <f t="shared" si="24"/>
        <v>659244.8199999998</v>
      </c>
      <c r="O110" s="112">
        <f t="shared" si="24"/>
        <v>764063.4800000001</v>
      </c>
      <c r="P110" s="112">
        <f t="shared" si="24"/>
        <v>3756226.54</v>
      </c>
      <c r="Q110" s="112">
        <f t="shared" si="24"/>
        <v>2707124.4699999997</v>
      </c>
      <c r="R110" s="160">
        <f>C110+P110-Q110</f>
        <v>1049102.0700000003</v>
      </c>
    </row>
    <row r="111" spans="2:18" s="140" customFormat="1" ht="30">
      <c r="B111" s="143" t="s">
        <v>116</v>
      </c>
      <c r="C111" s="144"/>
      <c r="D111" s="144" t="e">
        <f t="shared" si="24"/>
        <v>#REF!</v>
      </c>
      <c r="E111" s="144" t="e">
        <f t="shared" si="24"/>
        <v>#REF!</v>
      </c>
      <c r="F111" s="144" t="e">
        <f t="shared" si="24"/>
        <v>#REF!</v>
      </c>
      <c r="G111" s="144" t="e">
        <f t="shared" si="24"/>
        <v>#REF!</v>
      </c>
      <c r="H111" s="144" t="e">
        <f t="shared" si="24"/>
        <v>#REF!</v>
      </c>
      <c r="I111" s="144">
        <f t="shared" si="24"/>
        <v>61289.00000000003</v>
      </c>
      <c r="J111" s="144">
        <f t="shared" si="24"/>
        <v>129457.34000000008</v>
      </c>
      <c r="K111" s="144">
        <f t="shared" si="24"/>
        <v>3204.820000000036</v>
      </c>
      <c r="L111" s="144">
        <f t="shared" si="24"/>
        <v>58933.330000000045</v>
      </c>
      <c r="M111" s="144">
        <f t="shared" si="24"/>
        <v>-80081.53999999986</v>
      </c>
      <c r="N111" s="144">
        <f t="shared" si="24"/>
        <v>6249.500000000116</v>
      </c>
      <c r="O111" s="144">
        <f t="shared" si="24"/>
        <v>-7883.45000000007</v>
      </c>
      <c r="P111" s="144">
        <f>P109+P101</f>
        <v>171168.99999999977</v>
      </c>
      <c r="Q111" s="144"/>
      <c r="R111" s="144">
        <f>C111+P111</f>
        <v>171168.99999999977</v>
      </c>
    </row>
    <row r="112" spans="2:18" s="140" customFormat="1" ht="15"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</row>
    <row r="114" spans="2:16" ht="12.75">
      <c r="B114" s="127" t="s">
        <v>121</v>
      </c>
      <c r="P114" s="127" t="s">
        <v>221</v>
      </c>
    </row>
    <row r="116" spans="2:16" ht="12.75">
      <c r="B116" s="127" t="s">
        <v>123</v>
      </c>
      <c r="L116" s="126">
        <f>D104+E104+F104</f>
        <v>0</v>
      </c>
      <c r="P116" s="127" t="s">
        <v>222</v>
      </c>
    </row>
    <row r="118" spans="2:18" ht="12.75">
      <c r="B118" s="127" t="s">
        <v>226</v>
      </c>
      <c r="R118" s="126">
        <v>178135.8</v>
      </c>
    </row>
    <row r="119" spans="2:18" ht="12.75">
      <c r="B119" s="127" t="s">
        <v>227</v>
      </c>
      <c r="P119" s="126"/>
      <c r="R119" s="126">
        <v>296713.0950000001</v>
      </c>
    </row>
    <row r="120" spans="2:18" ht="12.75">
      <c r="B120" s="127" t="s">
        <v>223</v>
      </c>
      <c r="P120" s="127">
        <f>12565.6*0.1*7</f>
        <v>8795.920000000002</v>
      </c>
      <c r="Q120" s="127">
        <v>26309.7</v>
      </c>
      <c r="R120" s="126">
        <f>Q120-P120</f>
        <v>17513.78</v>
      </c>
    </row>
    <row r="121" spans="2:18" ht="12.75">
      <c r="B121" s="127" t="s">
        <v>224</v>
      </c>
      <c r="R121" s="126">
        <v>107400</v>
      </c>
    </row>
    <row r="122" spans="2:18" ht="12.75">
      <c r="B122" s="127" t="s">
        <v>229</v>
      </c>
      <c r="P122" s="127">
        <v>19790.82</v>
      </c>
      <c r="Q122" s="127">
        <v>55192.56</v>
      </c>
      <c r="R122" s="126">
        <f>Q122-P122</f>
        <v>35401.74</v>
      </c>
    </row>
    <row r="123" spans="2:18" ht="12.75">
      <c r="B123" s="127" t="s">
        <v>230</v>
      </c>
      <c r="P123" s="127">
        <v>8795.92</v>
      </c>
      <c r="Q123" s="127">
        <v>18023.77</v>
      </c>
      <c r="R123" s="126">
        <f>Q123-P123</f>
        <v>9227.85</v>
      </c>
    </row>
    <row r="124" spans="2:18" ht="12.75">
      <c r="B124" s="127" t="s">
        <v>231</v>
      </c>
      <c r="R124" s="126">
        <v>12201.2</v>
      </c>
    </row>
    <row r="125" spans="2:18" ht="12.75">
      <c r="B125" s="127" t="s">
        <v>225</v>
      </c>
      <c r="R125" s="126">
        <f>SUM(R120:R124)</f>
        <v>181744.57</v>
      </c>
    </row>
    <row r="126" spans="2:18" ht="12.75">
      <c r="B126" s="127" t="s">
        <v>228</v>
      </c>
      <c r="R126" s="126">
        <f>R119-R125</f>
        <v>114968.52500000008</v>
      </c>
    </row>
    <row r="128" spans="1:18" ht="30" customHeight="1">
      <c r="A128" s="213" t="s">
        <v>233</v>
      </c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</row>
    <row r="129" ht="12.75">
      <c r="B129" s="127" t="s">
        <v>232</v>
      </c>
    </row>
  </sheetData>
  <sheetProtection/>
  <mergeCells count="6">
    <mergeCell ref="A128:R128"/>
    <mergeCell ref="B102:C102"/>
    <mergeCell ref="B1:R1"/>
    <mergeCell ref="B21:C21"/>
    <mergeCell ref="B39:R39"/>
    <mergeCell ref="B40:C40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87" r:id="rId1"/>
  <rowBreaks count="1" manualBreakCount="1">
    <brk id="5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38"/>
  <sheetViews>
    <sheetView zoomScalePageLayoutView="0" workbookViewId="0" topLeftCell="B1">
      <pane xSplit="2" ySplit="2" topLeftCell="F82" activePane="bottomRight" state="frozen"/>
      <selection pane="topLeft" activeCell="B1" sqref="B1"/>
      <selection pane="topRight" activeCell="D1" sqref="D1"/>
      <selection pane="bottomLeft" activeCell="B3" sqref="B3"/>
      <selection pane="bottomRight" activeCell="S126" sqref="S126"/>
    </sheetView>
  </sheetViews>
  <sheetFormatPr defaultColWidth="9.140625" defaultRowHeight="15"/>
  <cols>
    <col min="1" max="1" width="4.00390625" style="127" customWidth="1"/>
    <col min="2" max="2" width="45.140625" style="127" customWidth="1"/>
    <col min="3" max="3" width="12.00390625" style="127" customWidth="1"/>
    <col min="4" max="4" width="12.7109375" style="127" customWidth="1"/>
    <col min="5" max="5" width="12.00390625" style="127" bestFit="1" customWidth="1"/>
    <col min="6" max="6" width="11.57421875" style="127" bestFit="1" customWidth="1"/>
    <col min="7" max="7" width="8.8515625" style="127" customWidth="1"/>
    <col min="8" max="9" width="10.7109375" style="127" bestFit="1" customWidth="1"/>
    <col min="10" max="10" width="11.57421875" style="127" customWidth="1"/>
    <col min="11" max="11" width="10.7109375" style="127" bestFit="1" customWidth="1"/>
    <col min="12" max="12" width="11.28125" style="127" bestFit="1" customWidth="1"/>
    <col min="13" max="13" width="10.7109375" style="127" bestFit="1" customWidth="1"/>
    <col min="14" max="14" width="11.28125" style="127" bestFit="1" customWidth="1"/>
    <col min="15" max="15" width="11.8515625" style="127" customWidth="1"/>
    <col min="16" max="16" width="11.8515625" style="127" bestFit="1" customWidth="1"/>
    <col min="17" max="17" width="14.8515625" style="127" customWidth="1"/>
    <col min="18" max="18" width="12.8515625" style="127" bestFit="1" customWidth="1"/>
    <col min="19" max="19" width="13.00390625" style="126" bestFit="1" customWidth="1"/>
    <col min="20" max="20" width="12.8515625" style="127" bestFit="1" customWidth="1"/>
    <col min="21" max="21" width="12.28125" style="127" bestFit="1" customWidth="1"/>
    <col min="22" max="22" width="10.421875" style="127" bestFit="1" customWidth="1"/>
    <col min="23" max="23" width="9.140625" style="127" customWidth="1"/>
    <col min="24" max="24" width="10.421875" style="127" bestFit="1" customWidth="1"/>
    <col min="25" max="25" width="9.140625" style="127" customWidth="1"/>
    <col min="26" max="26" width="10.421875" style="127" bestFit="1" customWidth="1"/>
    <col min="27" max="16384" width="9.140625" style="127" customWidth="1"/>
  </cols>
  <sheetData>
    <row r="1" spans="2:19" s="59" customFormat="1" ht="20.25" customHeight="1">
      <c r="B1" s="208" t="s">
        <v>199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63"/>
    </row>
    <row r="2" spans="2:19" s="64" customFormat="1" ht="51">
      <c r="B2" s="65"/>
      <c r="C2" s="66" t="s">
        <v>198</v>
      </c>
      <c r="D2" s="67" t="s">
        <v>77</v>
      </c>
      <c r="E2" s="67" t="s">
        <v>78</v>
      </c>
      <c r="F2" s="67" t="s">
        <v>79</v>
      </c>
      <c r="G2" s="67" t="s">
        <v>80</v>
      </c>
      <c r="H2" s="67" t="s">
        <v>81</v>
      </c>
      <c r="I2" s="67" t="s">
        <v>82</v>
      </c>
      <c r="J2" s="67" t="s">
        <v>83</v>
      </c>
      <c r="K2" s="67" t="s">
        <v>84</v>
      </c>
      <c r="L2" s="67" t="s">
        <v>85</v>
      </c>
      <c r="M2" s="67" t="s">
        <v>86</v>
      </c>
      <c r="N2" s="67" t="s">
        <v>87</v>
      </c>
      <c r="O2" s="67" t="s">
        <v>88</v>
      </c>
      <c r="P2" s="196" t="s">
        <v>89</v>
      </c>
      <c r="Q2" s="66" t="s">
        <v>90</v>
      </c>
      <c r="R2" s="66" t="s">
        <v>91</v>
      </c>
      <c r="S2" s="68"/>
    </row>
    <row r="3" spans="2:19" s="69" customFormat="1" ht="15.75">
      <c r="B3" s="70" t="s">
        <v>92</v>
      </c>
      <c r="C3" s="71"/>
      <c r="D3" s="190"/>
      <c r="E3" s="72"/>
      <c r="F3" s="72"/>
      <c r="G3" s="72"/>
      <c r="H3" s="72"/>
      <c r="I3" s="72"/>
      <c r="J3" s="73"/>
      <c r="K3" s="73"/>
      <c r="L3" s="73"/>
      <c r="M3" s="73"/>
      <c r="N3" s="73"/>
      <c r="O3" s="73"/>
      <c r="P3" s="73"/>
      <c r="Q3" s="74"/>
      <c r="S3" s="75"/>
    </row>
    <row r="4" spans="2:19" s="76" customFormat="1" ht="15.75">
      <c r="B4" s="77" t="s">
        <v>148</v>
      </c>
      <c r="C4" s="78"/>
      <c r="D4" s="78"/>
      <c r="E4" s="78"/>
      <c r="F4" s="78"/>
      <c r="G4" s="78"/>
      <c r="H4" s="78"/>
      <c r="I4" s="78">
        <v>138914.73</v>
      </c>
      <c r="J4" s="78">
        <v>138348.12</v>
      </c>
      <c r="K4" s="78">
        <v>138914.73</v>
      </c>
      <c r="L4" s="78">
        <v>138914.73</v>
      </c>
      <c r="M4" s="78">
        <v>138914.73</v>
      </c>
      <c r="N4" s="78">
        <v>138914.73</v>
      </c>
      <c r="O4" s="78">
        <v>138914.73</v>
      </c>
      <c r="P4" s="79">
        <f>SUM(D4:O4)</f>
        <v>971836.4999999999</v>
      </c>
      <c r="Q4" s="79">
        <v>737392.64</v>
      </c>
      <c r="R4" s="78">
        <f>C4+P4-Q4</f>
        <v>234443.85999999987</v>
      </c>
      <c r="S4" s="80"/>
    </row>
    <row r="5" spans="2:19" s="76" customFormat="1" ht="15.75">
      <c r="B5" s="77" t="s">
        <v>192</v>
      </c>
      <c r="C5" s="78"/>
      <c r="D5" s="78"/>
      <c r="E5" s="78"/>
      <c r="F5" s="78"/>
      <c r="G5" s="78"/>
      <c r="H5" s="78"/>
      <c r="I5" s="78">
        <v>501.53</v>
      </c>
      <c r="J5" s="78">
        <v>297.91</v>
      </c>
      <c r="K5" s="78">
        <v>544.24</v>
      </c>
      <c r="L5" s="78">
        <v>544.24</v>
      </c>
      <c r="M5" s="78">
        <v>544.24</v>
      </c>
      <c r="N5" s="78">
        <v>544.24</v>
      </c>
      <c r="O5" s="79">
        <v>544.24</v>
      </c>
      <c r="P5" s="79">
        <f>SUM(D5:O5)</f>
        <v>3520.6399999999994</v>
      </c>
      <c r="Q5" s="79">
        <v>2652.41</v>
      </c>
      <c r="R5" s="78">
        <f>C5+P5-Q5</f>
        <v>868.2299999999996</v>
      </c>
      <c r="S5" s="80"/>
    </row>
    <row r="6" spans="2:19" s="76" customFormat="1" ht="15.75">
      <c r="B6" s="77" t="s">
        <v>193</v>
      </c>
      <c r="C6" s="78"/>
      <c r="D6" s="78"/>
      <c r="E6" s="78"/>
      <c r="F6" s="78"/>
      <c r="G6" s="78"/>
      <c r="H6" s="78"/>
      <c r="I6" s="78">
        <v>750.59</v>
      </c>
      <c r="J6" s="78">
        <v>504.92</v>
      </c>
      <c r="K6" s="78">
        <v>652.69</v>
      </c>
      <c r="L6" s="78">
        <v>652.69</v>
      </c>
      <c r="M6" s="78">
        <v>652.69</v>
      </c>
      <c r="N6" s="78">
        <v>652.69</v>
      </c>
      <c r="O6" s="78">
        <f>652.69</f>
        <v>652.69</v>
      </c>
      <c r="P6" s="79">
        <f>SUM(D6:O6)</f>
        <v>4518.960000000001</v>
      </c>
      <c r="Q6" s="79">
        <v>3464.6</v>
      </c>
      <c r="R6" s="78">
        <f>C6+P6-Q6</f>
        <v>1054.360000000001</v>
      </c>
      <c r="S6" s="80"/>
    </row>
    <row r="7" spans="2:19" s="76" customFormat="1" ht="15.75">
      <c r="B7" s="77" t="s">
        <v>194</v>
      </c>
      <c r="C7" s="78"/>
      <c r="D7" s="78"/>
      <c r="E7" s="78"/>
      <c r="F7" s="78"/>
      <c r="G7" s="78"/>
      <c r="H7" s="78"/>
      <c r="I7" s="78">
        <v>1527.4</v>
      </c>
      <c r="J7" s="78">
        <v>-1348.19</v>
      </c>
      <c r="K7" s="78">
        <v>1414.22</v>
      </c>
      <c r="L7" s="78">
        <v>1414.22</v>
      </c>
      <c r="M7" s="78">
        <v>1414.22</v>
      </c>
      <c r="N7" s="78">
        <v>1414.22</v>
      </c>
      <c r="O7" s="78">
        <v>1414.22</v>
      </c>
      <c r="P7" s="79">
        <f>SUM(D7:O7)</f>
        <v>7250.31</v>
      </c>
      <c r="Q7" s="79">
        <v>5008.03</v>
      </c>
      <c r="R7" s="78">
        <f>C7+P7-Q7</f>
        <v>2242.2800000000007</v>
      </c>
      <c r="S7" s="80"/>
    </row>
    <row r="8" spans="2:19" s="76" customFormat="1" ht="15.75">
      <c r="B8" s="77" t="s">
        <v>196</v>
      </c>
      <c r="C8" s="78"/>
      <c r="D8" s="78"/>
      <c r="E8" s="78"/>
      <c r="F8" s="78"/>
      <c r="G8" s="78"/>
      <c r="H8" s="78"/>
      <c r="I8" s="78">
        <v>22767.49</v>
      </c>
      <c r="J8" s="78">
        <v>17135.14</v>
      </c>
      <c r="K8" s="78">
        <v>20559.85</v>
      </c>
      <c r="L8" s="78">
        <v>20559.85</v>
      </c>
      <c r="M8" s="79">
        <v>-26977.94</v>
      </c>
      <c r="N8" s="79">
        <v>13488.97</v>
      </c>
      <c r="O8" s="79">
        <v>-5765.11</v>
      </c>
      <c r="P8" s="79">
        <f>SUM(D8:O8)</f>
        <v>61768.25</v>
      </c>
      <c r="Q8" s="79">
        <v>74277.37</v>
      </c>
      <c r="R8" s="78">
        <f>C8+P8-Q8</f>
        <v>-12509.119999999995</v>
      </c>
      <c r="S8" s="80"/>
    </row>
    <row r="9" spans="2:19" s="76" customFormat="1" ht="15.75">
      <c r="B9" s="77" t="s">
        <v>93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79"/>
      <c r="O9" s="79"/>
      <c r="P9" s="79">
        <f aca="true" t="shared" si="0" ref="P9:P37">SUM(D9:O9)</f>
        <v>0</v>
      </c>
      <c r="Q9" s="79"/>
      <c r="R9" s="78">
        <f aca="true" t="shared" si="1" ref="R9:R39">C9+P9-Q9</f>
        <v>0</v>
      </c>
      <c r="S9" s="80"/>
    </row>
    <row r="10" spans="2:19" s="76" customFormat="1" ht="15.75">
      <c r="B10" s="77" t="s">
        <v>166</v>
      </c>
      <c r="C10" s="78"/>
      <c r="D10" s="78"/>
      <c r="E10" s="78"/>
      <c r="F10" s="78"/>
      <c r="G10" s="78"/>
      <c r="H10" s="78"/>
      <c r="I10" s="78">
        <v>23932.04</v>
      </c>
      <c r="J10" s="78">
        <v>23802.66</v>
      </c>
      <c r="K10" s="78">
        <v>23932.04</v>
      </c>
      <c r="L10" s="78">
        <v>23932.04</v>
      </c>
      <c r="M10" s="78">
        <v>23932.04</v>
      </c>
      <c r="N10" s="78">
        <v>23932.04</v>
      </c>
      <c r="O10" s="78">
        <v>23932.04</v>
      </c>
      <c r="P10" s="79">
        <f t="shared" si="0"/>
        <v>167394.90000000002</v>
      </c>
      <c r="Q10" s="79">
        <v>128223.79</v>
      </c>
      <c r="R10" s="78">
        <f t="shared" si="1"/>
        <v>39171.11000000003</v>
      </c>
      <c r="S10" s="80"/>
    </row>
    <row r="11" spans="2:19" s="76" customFormat="1" ht="15.75">
      <c r="B11" s="77" t="s">
        <v>94</v>
      </c>
      <c r="C11" s="78"/>
      <c r="D11" s="78"/>
      <c r="E11" s="78"/>
      <c r="F11" s="78"/>
      <c r="G11" s="78"/>
      <c r="H11" s="78"/>
      <c r="I11" s="78">
        <v>46422.72</v>
      </c>
      <c r="J11" s="78">
        <v>46140.43</v>
      </c>
      <c r="K11" s="78">
        <v>46422.72</v>
      </c>
      <c r="L11" s="78">
        <v>46422.72</v>
      </c>
      <c r="M11" s="78">
        <v>46422.72</v>
      </c>
      <c r="N11" s="78">
        <v>46422.72</v>
      </c>
      <c r="O11" s="78">
        <v>46422.72</v>
      </c>
      <c r="P11" s="79">
        <f t="shared" si="0"/>
        <v>324676.75</v>
      </c>
      <c r="Q11" s="79">
        <v>243477.13</v>
      </c>
      <c r="R11" s="78">
        <f t="shared" si="1"/>
        <v>81199.62</v>
      </c>
      <c r="S11" s="80"/>
    </row>
    <row r="12" spans="2:19" s="76" customFormat="1" ht="15.75">
      <c r="B12" s="77" t="s">
        <v>96</v>
      </c>
      <c r="C12" s="78"/>
      <c r="D12" s="78"/>
      <c r="E12" s="78"/>
      <c r="F12" s="78"/>
      <c r="G12" s="78"/>
      <c r="H12" s="78"/>
      <c r="I12" s="78">
        <v>6276</v>
      </c>
      <c r="J12" s="78">
        <v>6082.95</v>
      </c>
      <c r="K12" s="78">
        <v>6206</v>
      </c>
      <c r="L12" s="78">
        <v>6087</v>
      </c>
      <c r="M12" s="78">
        <v>6173</v>
      </c>
      <c r="N12" s="78">
        <v>5903</v>
      </c>
      <c r="O12" s="79">
        <v>6173</v>
      </c>
      <c r="P12" s="79">
        <f t="shared" si="0"/>
        <v>42900.95</v>
      </c>
      <c r="Q12" s="79">
        <v>32326.63</v>
      </c>
      <c r="R12" s="78">
        <f t="shared" si="1"/>
        <v>10574.319999999996</v>
      </c>
      <c r="S12" s="80"/>
    </row>
    <row r="13" spans="2:19" s="76" customFormat="1" ht="15.75">
      <c r="B13" s="77" t="s">
        <v>163</v>
      </c>
      <c r="C13" s="78"/>
      <c r="D13" s="78"/>
      <c r="E13" s="78"/>
      <c r="F13" s="78"/>
      <c r="G13" s="78"/>
      <c r="H13" s="78"/>
      <c r="I13" s="78">
        <v>8131.58</v>
      </c>
      <c r="J13" s="78">
        <v>6010.67</v>
      </c>
      <c r="K13" s="78">
        <v>7071.16</v>
      </c>
      <c r="L13" s="78">
        <v>7071.16</v>
      </c>
      <c r="M13" s="78">
        <v>7071.16</v>
      </c>
      <c r="N13" s="78">
        <v>7071.16</v>
      </c>
      <c r="O13" s="78">
        <v>7071.16</v>
      </c>
      <c r="P13" s="79">
        <f t="shared" si="0"/>
        <v>49498.05</v>
      </c>
      <c r="Q13" s="79">
        <v>37841.89</v>
      </c>
      <c r="R13" s="78">
        <f t="shared" si="1"/>
        <v>11656.160000000003</v>
      </c>
      <c r="S13" s="80"/>
    </row>
    <row r="14" spans="2:19" s="76" customFormat="1" ht="15.75">
      <c r="B14" s="77" t="s">
        <v>197</v>
      </c>
      <c r="C14" s="78"/>
      <c r="D14" s="78"/>
      <c r="E14" s="78"/>
      <c r="F14" s="78"/>
      <c r="G14" s="78"/>
      <c r="H14" s="78"/>
      <c r="I14" s="78">
        <v>27000</v>
      </c>
      <c r="J14" s="78">
        <v>27000</v>
      </c>
      <c r="K14" s="78">
        <f>1000+27000</f>
        <v>28000</v>
      </c>
      <c r="L14" s="78">
        <f>1000+27000</f>
        <v>28000</v>
      </c>
      <c r="M14" s="78">
        <f>1000+27000</f>
        <v>28000</v>
      </c>
      <c r="N14" s="78">
        <f>1000+27000</f>
        <v>28000</v>
      </c>
      <c r="O14" s="79">
        <v>28000</v>
      </c>
      <c r="P14" s="79">
        <f t="shared" si="0"/>
        <v>194000</v>
      </c>
      <c r="Q14" s="79">
        <v>112000</v>
      </c>
      <c r="R14" s="78">
        <f t="shared" si="1"/>
        <v>82000</v>
      </c>
      <c r="S14" s="80"/>
    </row>
    <row r="15" spans="2:21" s="76" customFormat="1" ht="15.75">
      <c r="B15" s="77" t="s">
        <v>97</v>
      </c>
      <c r="C15" s="78"/>
      <c r="D15" s="78"/>
      <c r="E15" s="78"/>
      <c r="F15" s="78"/>
      <c r="G15" s="78"/>
      <c r="H15" s="78"/>
      <c r="I15" s="78">
        <v>2755</v>
      </c>
      <c r="J15" s="78">
        <v>2755</v>
      </c>
      <c r="K15" s="78">
        <v>2755</v>
      </c>
      <c r="L15" s="78">
        <v>2755</v>
      </c>
      <c r="M15" s="78">
        <v>2755</v>
      </c>
      <c r="N15" s="78">
        <v>2755</v>
      </c>
      <c r="O15" s="78">
        <v>2752</v>
      </c>
      <c r="P15" s="79">
        <f t="shared" si="0"/>
        <v>19282</v>
      </c>
      <c r="Q15" s="78">
        <v>7641.28</v>
      </c>
      <c r="R15" s="78">
        <f t="shared" si="1"/>
        <v>11640.720000000001</v>
      </c>
      <c r="S15" s="80"/>
      <c r="U15" s="80"/>
    </row>
    <row r="16" spans="2:21" s="76" customFormat="1" ht="15.75">
      <c r="B16" s="191">
        <v>0.1</v>
      </c>
      <c r="C16" s="78"/>
      <c r="D16" s="78">
        <f>-(D15+D14)*10%</f>
        <v>0</v>
      </c>
      <c r="E16" s="78">
        <f aca="true" t="shared" si="2" ref="E16:O16">-(E15+E14)*10%</f>
        <v>0</v>
      </c>
      <c r="F16" s="78">
        <f t="shared" si="2"/>
        <v>0</v>
      </c>
      <c r="G16" s="78">
        <f t="shared" si="2"/>
        <v>0</v>
      </c>
      <c r="H16" s="78">
        <f t="shared" si="2"/>
        <v>0</v>
      </c>
      <c r="I16" s="78">
        <f t="shared" si="2"/>
        <v>-2975.5</v>
      </c>
      <c r="J16" s="78">
        <f>-(J15+J14)*10%</f>
        <v>-2975.5</v>
      </c>
      <c r="K16" s="78">
        <f t="shared" si="2"/>
        <v>-3075.5</v>
      </c>
      <c r="L16" s="78">
        <f t="shared" si="2"/>
        <v>-3075.5</v>
      </c>
      <c r="M16" s="78">
        <f t="shared" si="2"/>
        <v>-3075.5</v>
      </c>
      <c r="N16" s="78">
        <f t="shared" si="2"/>
        <v>-3075.5</v>
      </c>
      <c r="O16" s="78">
        <f t="shared" si="2"/>
        <v>-3075.2000000000003</v>
      </c>
      <c r="P16" s="79">
        <f t="shared" si="0"/>
        <v>-21328.2</v>
      </c>
      <c r="Q16" s="78">
        <f>-(Q15+Q14)*10%</f>
        <v>-11964.128</v>
      </c>
      <c r="R16" s="78">
        <f t="shared" si="1"/>
        <v>-9364.072</v>
      </c>
      <c r="S16" s="80"/>
      <c r="U16" s="80"/>
    </row>
    <row r="17" spans="2:21" s="76" customFormat="1" ht="15.75">
      <c r="B17" s="77" t="s">
        <v>161</v>
      </c>
      <c r="C17" s="78"/>
      <c r="D17" s="78"/>
      <c r="E17" s="78"/>
      <c r="F17" s="78"/>
      <c r="G17" s="78"/>
      <c r="H17" s="78"/>
      <c r="I17" s="78">
        <v>24556.3</v>
      </c>
      <c r="J17" s="78">
        <v>24556.3</v>
      </c>
      <c r="K17" s="78">
        <v>24556.3</v>
      </c>
      <c r="L17" s="78">
        <v>24556.3</v>
      </c>
      <c r="M17" s="78">
        <v>24556.3</v>
      </c>
      <c r="N17" s="78">
        <v>24556.3</v>
      </c>
      <c r="O17" s="78">
        <v>24556.3</v>
      </c>
      <c r="P17" s="79">
        <f t="shared" si="0"/>
        <v>171894.09999999998</v>
      </c>
      <c r="Q17" s="78">
        <v>120198.49</v>
      </c>
      <c r="R17" s="78">
        <f t="shared" si="1"/>
        <v>51695.60999999997</v>
      </c>
      <c r="S17" s="80"/>
      <c r="U17" s="80"/>
    </row>
    <row r="18" spans="2:21" s="76" customFormat="1" ht="15.75">
      <c r="B18" s="77" t="s">
        <v>202</v>
      </c>
      <c r="C18" s="78"/>
      <c r="D18" s="78"/>
      <c r="E18" s="78"/>
      <c r="F18" s="78"/>
      <c r="G18" s="78"/>
      <c r="H18" s="78"/>
      <c r="I18" s="78">
        <v>894.06</v>
      </c>
      <c r="J18" s="78">
        <v>1284.9</v>
      </c>
      <c r="K18" s="78">
        <v>1251.59</v>
      </c>
      <c r="L18" s="78">
        <v>1251.59</v>
      </c>
      <c r="M18" s="78">
        <f>815.42+222.56</f>
        <v>1037.98</v>
      </c>
      <c r="N18" s="78">
        <v>944.79</v>
      </c>
      <c r="O18" s="78">
        <v>944.79</v>
      </c>
      <c r="P18" s="79">
        <f t="shared" si="0"/>
        <v>7609.700000000001</v>
      </c>
      <c r="Q18" s="78">
        <v>5363.57</v>
      </c>
      <c r="R18" s="78">
        <f t="shared" si="1"/>
        <v>2246.130000000001</v>
      </c>
      <c r="S18" s="80"/>
      <c r="U18" s="80"/>
    </row>
    <row r="19" spans="2:19" s="81" customFormat="1" ht="15.75">
      <c r="B19" s="82" t="s">
        <v>98</v>
      </c>
      <c r="C19" s="83">
        <f>SUM(C4:C17)</f>
        <v>0</v>
      </c>
      <c r="D19" s="83">
        <f>D4+D9+D10+D11+D12+D13+D15+D16+D17+D5+D6+D7+D8+D14</f>
        <v>0</v>
      </c>
      <c r="E19" s="83">
        <f>E4+E9+E10+E11+E12+E13+E15+E16+E17+E5+E6+E7+E8+E14</f>
        <v>0</v>
      </c>
      <c r="F19" s="83">
        <f>F4+F9+F10+F11+F12+F13+F15+F16+F17+F5+F6+F7+F8+F14</f>
        <v>0</v>
      </c>
      <c r="G19" s="83">
        <f aca="true" t="shared" si="3" ref="G19:O19">G4+G9+G10+G11+G12+G13+G15+G16+G17+G5+G6+G7+G8+G14</f>
        <v>0</v>
      </c>
      <c r="H19" s="83">
        <f t="shared" si="3"/>
        <v>0</v>
      </c>
      <c r="I19" s="83">
        <f t="shared" si="3"/>
        <v>300559.88</v>
      </c>
      <c r="J19" s="83">
        <f t="shared" si="3"/>
        <v>288310.41000000003</v>
      </c>
      <c r="K19" s="83">
        <f t="shared" si="3"/>
        <v>297953.45</v>
      </c>
      <c r="L19" s="83">
        <f t="shared" si="3"/>
        <v>297834.45</v>
      </c>
      <c r="M19" s="83">
        <f t="shared" si="3"/>
        <v>250382.66</v>
      </c>
      <c r="N19" s="83">
        <f t="shared" si="3"/>
        <v>290579.57</v>
      </c>
      <c r="O19" s="83">
        <f t="shared" si="3"/>
        <v>271592.79000000004</v>
      </c>
      <c r="P19" s="83">
        <f>P4+P9+P10+P11+P12+P13+P15+P16+P17+P5+P6+P7+P8</f>
        <v>1803213.2099999997</v>
      </c>
      <c r="Q19" s="83">
        <f>Q4+Q9+Q10+Q11+Q12+Q13+Q15+Q16+Q17+Q5+Q6+Q7+Q8</f>
        <v>1380540.1319999998</v>
      </c>
      <c r="R19" s="83">
        <f>R4+R9+R10+R11+R12+R13+R15+R16+R17+R5+R6+R7+R8</f>
        <v>422673.0779999999</v>
      </c>
      <c r="S19" s="84"/>
    </row>
    <row r="20" spans="2:19" s="76" customFormat="1" ht="15.75">
      <c r="B20" s="111" t="s">
        <v>216</v>
      </c>
      <c r="C20" s="78"/>
      <c r="D20" s="78"/>
      <c r="E20" s="78"/>
      <c r="F20" s="78"/>
      <c r="G20" s="78"/>
      <c r="H20" s="78"/>
      <c r="I20" s="78"/>
      <c r="J20" s="79"/>
      <c r="K20" s="79"/>
      <c r="L20" s="79"/>
      <c r="M20" s="79"/>
      <c r="N20" s="79"/>
      <c r="O20" s="79"/>
      <c r="P20" s="112">
        <v>118577.29500000011</v>
      </c>
      <c r="Q20" s="112">
        <f>P20</f>
        <v>118577.29500000011</v>
      </c>
      <c r="R20" s="78"/>
      <c r="S20" s="80"/>
    </row>
    <row r="21" spans="2:21" s="76" customFormat="1" ht="15.75">
      <c r="B21" s="206" t="s">
        <v>102</v>
      </c>
      <c r="C21" s="207"/>
      <c r="D21" s="89"/>
      <c r="E21" s="89"/>
      <c r="F21" s="89"/>
      <c r="G21" s="89"/>
      <c r="H21" s="89"/>
      <c r="I21" s="89"/>
      <c r="J21" s="90"/>
      <c r="K21" s="90"/>
      <c r="L21" s="90"/>
      <c r="M21" s="90"/>
      <c r="N21" s="90"/>
      <c r="O21" s="90"/>
      <c r="P21" s="79"/>
      <c r="Q21" s="90"/>
      <c r="R21" s="78"/>
      <c r="S21" s="91"/>
      <c r="T21" s="92">
        <f>Q21/2895.2/12</f>
        <v>0</v>
      </c>
      <c r="U21" s="92">
        <f>24.93-23.25</f>
        <v>1.6799999999999997</v>
      </c>
    </row>
    <row r="22" spans="2:19" s="76" customFormat="1" ht="15.75">
      <c r="B22" s="77" t="s">
        <v>59</v>
      </c>
      <c r="C22" s="78"/>
      <c r="D22" s="78"/>
      <c r="E22" s="78"/>
      <c r="F22" s="78"/>
      <c r="G22" s="78"/>
      <c r="H22" s="78"/>
      <c r="I22" s="78">
        <v>18998.03</v>
      </c>
      <c r="J22" s="79">
        <v>17166.94</v>
      </c>
      <c r="K22" s="79">
        <v>16460.52</v>
      </c>
      <c r="L22" s="79">
        <v>17042.33</v>
      </c>
      <c r="M22" s="79">
        <v>18784.2</v>
      </c>
      <c r="N22" s="79">
        <v>18862.76</v>
      </c>
      <c r="O22" s="79">
        <f>19236.68-330.29</f>
        <v>18906.39</v>
      </c>
      <c r="P22" s="79">
        <f t="shared" si="0"/>
        <v>126221.17</v>
      </c>
      <c r="Q22" s="79">
        <v>95078.41</v>
      </c>
      <c r="R22" s="78">
        <f t="shared" si="1"/>
        <v>31142.759999999995</v>
      </c>
      <c r="S22" s="80"/>
    </row>
    <row r="23" spans="2:19" s="76" customFormat="1" ht="15.75">
      <c r="B23" s="77" t="s">
        <v>103</v>
      </c>
      <c r="C23" s="78"/>
      <c r="D23" s="78"/>
      <c r="E23" s="78"/>
      <c r="F23" s="78"/>
      <c r="G23" s="78"/>
      <c r="H23" s="78"/>
      <c r="I23" s="78"/>
      <c r="J23" s="79"/>
      <c r="K23" s="79"/>
      <c r="L23" s="79"/>
      <c r="M23" s="79"/>
      <c r="N23" s="79"/>
      <c r="O23" s="79"/>
      <c r="P23" s="79">
        <f t="shared" si="0"/>
        <v>0</v>
      </c>
      <c r="Q23" s="79"/>
      <c r="R23" s="78">
        <f t="shared" si="1"/>
        <v>0</v>
      </c>
      <c r="S23" s="80"/>
    </row>
    <row r="24" spans="2:19" s="76" customFormat="1" ht="15.75">
      <c r="B24" s="77" t="s">
        <v>60</v>
      </c>
      <c r="C24" s="78"/>
      <c r="D24" s="78"/>
      <c r="E24" s="78"/>
      <c r="F24" s="78"/>
      <c r="G24" s="78"/>
      <c r="H24" s="78"/>
      <c r="I24" s="78">
        <v>20057.31</v>
      </c>
      <c r="J24" s="79">
        <v>18125.55</v>
      </c>
      <c r="K24" s="79">
        <v>17856.66</v>
      </c>
      <c r="L24" s="79">
        <v>19273.45</v>
      </c>
      <c r="M24" s="79">
        <v>19751.98</v>
      </c>
      <c r="N24" s="79">
        <v>19591.07</v>
      </c>
      <c r="O24" s="79">
        <f>19862.47-491.65</f>
        <v>19370.82</v>
      </c>
      <c r="P24" s="79">
        <f t="shared" si="0"/>
        <v>134026.84</v>
      </c>
      <c r="Q24" s="79">
        <v>101490.45</v>
      </c>
      <c r="R24" s="78">
        <f t="shared" si="1"/>
        <v>32536.39</v>
      </c>
      <c r="S24" s="80"/>
    </row>
    <row r="25" spans="2:19" s="76" customFormat="1" ht="15.75">
      <c r="B25" s="77" t="s">
        <v>104</v>
      </c>
      <c r="C25" s="78"/>
      <c r="D25" s="78"/>
      <c r="E25" s="78"/>
      <c r="F25" s="78"/>
      <c r="G25" s="78"/>
      <c r="H25" s="78"/>
      <c r="I25" s="78"/>
      <c r="J25" s="79"/>
      <c r="K25" s="79"/>
      <c r="L25" s="79"/>
      <c r="M25" s="79"/>
      <c r="N25" s="79"/>
      <c r="O25" s="79"/>
      <c r="P25" s="79">
        <f t="shared" si="0"/>
        <v>0</v>
      </c>
      <c r="Q25" s="79"/>
      <c r="R25" s="78">
        <f t="shared" si="1"/>
        <v>0</v>
      </c>
      <c r="S25" s="80"/>
    </row>
    <row r="26" spans="2:19" s="76" customFormat="1" ht="15.75">
      <c r="B26" s="77" t="s">
        <v>56</v>
      </c>
      <c r="C26" s="78"/>
      <c r="D26" s="78"/>
      <c r="E26" s="78"/>
      <c r="F26" s="78"/>
      <c r="G26" s="78"/>
      <c r="H26" s="78"/>
      <c r="I26" s="78">
        <v>60327.01</v>
      </c>
      <c r="J26" s="79">
        <v>54716.2</v>
      </c>
      <c r="K26" s="79">
        <v>54891.32</v>
      </c>
      <c r="L26" s="79">
        <v>69561.84</v>
      </c>
      <c r="M26" s="79">
        <v>56595.94</v>
      </c>
      <c r="N26" s="79">
        <v>66044.42</v>
      </c>
      <c r="O26" s="79">
        <f>57873.28-1410.36</f>
        <v>56462.92</v>
      </c>
      <c r="P26" s="79">
        <f t="shared" si="0"/>
        <v>418599.64999999997</v>
      </c>
      <c r="Q26" s="79">
        <v>305295.57</v>
      </c>
      <c r="R26" s="78">
        <f t="shared" si="1"/>
        <v>113304.07999999996</v>
      </c>
      <c r="S26" s="80"/>
    </row>
    <row r="27" spans="2:19" s="76" customFormat="1" ht="15.75">
      <c r="B27" s="77" t="s">
        <v>105</v>
      </c>
      <c r="C27" s="78"/>
      <c r="D27" s="78"/>
      <c r="E27" s="78"/>
      <c r="F27" s="78"/>
      <c r="G27" s="78"/>
      <c r="H27" s="78"/>
      <c r="I27" s="78"/>
      <c r="J27" s="79"/>
      <c r="K27" s="79"/>
      <c r="L27" s="79"/>
      <c r="M27" s="79"/>
      <c r="N27" s="79"/>
      <c r="O27" s="79"/>
      <c r="P27" s="79">
        <f t="shared" si="0"/>
        <v>0</v>
      </c>
      <c r="Q27" s="79"/>
      <c r="R27" s="78">
        <f t="shared" si="1"/>
        <v>0</v>
      </c>
      <c r="S27" s="80"/>
    </row>
    <row r="28" spans="2:19" s="76" customFormat="1" ht="15.75">
      <c r="B28" s="77" t="s">
        <v>106</v>
      </c>
      <c r="C28" s="78"/>
      <c r="D28" s="78"/>
      <c r="E28" s="78"/>
      <c r="F28" s="78"/>
      <c r="G28" s="78"/>
      <c r="H28" s="78"/>
      <c r="I28" s="78"/>
      <c r="J28" s="78">
        <v>-548.06</v>
      </c>
      <c r="K28" s="79"/>
      <c r="L28" s="79">
        <v>20048.57</v>
      </c>
      <c r="M28" s="79">
        <v>167526.62</v>
      </c>
      <c r="N28" s="79">
        <v>176526.87</v>
      </c>
      <c r="O28" s="79">
        <v>280331.43</v>
      </c>
      <c r="P28" s="79">
        <f t="shared" si="0"/>
        <v>643885.4299999999</v>
      </c>
      <c r="Q28" s="79">
        <v>294893.69</v>
      </c>
      <c r="R28" s="78">
        <f t="shared" si="1"/>
        <v>348991.73999999993</v>
      </c>
      <c r="S28" s="80"/>
    </row>
    <row r="29" spans="2:20" s="76" customFormat="1" ht="15.75">
      <c r="B29" s="77" t="s">
        <v>58</v>
      </c>
      <c r="C29" s="78"/>
      <c r="D29" s="78"/>
      <c r="E29" s="78"/>
      <c r="F29" s="78"/>
      <c r="G29" s="78"/>
      <c r="H29" s="78"/>
      <c r="I29" s="78">
        <v>31814.87</v>
      </c>
      <c r="J29" s="79">
        <v>29259.15</v>
      </c>
      <c r="K29" s="79">
        <v>31197.04</v>
      </c>
      <c r="L29" s="79">
        <v>35323.88</v>
      </c>
      <c r="M29" s="79">
        <v>32187.28</v>
      </c>
      <c r="N29" s="79">
        <v>31358.09</v>
      </c>
      <c r="O29" s="79">
        <v>30569.27</v>
      </c>
      <c r="P29" s="79">
        <f t="shared" si="0"/>
        <v>221709.58</v>
      </c>
      <c r="Q29" s="79">
        <v>167949.05</v>
      </c>
      <c r="R29" s="78">
        <f t="shared" si="1"/>
        <v>53760.53</v>
      </c>
      <c r="S29" s="80"/>
      <c r="T29" s="80"/>
    </row>
    <row r="30" spans="2:19" s="76" customFormat="1" ht="16.5" customHeight="1">
      <c r="B30" s="77" t="s">
        <v>107</v>
      </c>
      <c r="C30" s="78"/>
      <c r="D30" s="78"/>
      <c r="E30" s="78"/>
      <c r="F30" s="78"/>
      <c r="G30" s="78"/>
      <c r="H30" s="78"/>
      <c r="I30" s="78"/>
      <c r="J30" s="79"/>
      <c r="K30" s="79"/>
      <c r="L30" s="79"/>
      <c r="M30" s="79"/>
      <c r="N30" s="79"/>
      <c r="O30" s="79"/>
      <c r="P30" s="79">
        <f t="shared" si="0"/>
        <v>0</v>
      </c>
      <c r="Q30" s="79"/>
      <c r="R30" s="78">
        <f t="shared" si="1"/>
        <v>0</v>
      </c>
      <c r="S30" s="80"/>
    </row>
    <row r="31" spans="2:19" s="76" customFormat="1" ht="16.5" customHeight="1">
      <c r="B31" s="77"/>
      <c r="C31" s="78"/>
      <c r="D31" s="78"/>
      <c r="E31" s="78"/>
      <c r="F31" s="78"/>
      <c r="G31" s="78"/>
      <c r="H31" s="78"/>
      <c r="I31" s="78"/>
      <c r="J31" s="79"/>
      <c r="K31" s="79"/>
      <c r="L31" s="79"/>
      <c r="M31" s="79"/>
      <c r="N31" s="79"/>
      <c r="O31" s="79"/>
      <c r="P31" s="79">
        <f t="shared" si="0"/>
        <v>0</v>
      </c>
      <c r="Q31" s="79"/>
      <c r="R31" s="78">
        <f t="shared" si="1"/>
        <v>0</v>
      </c>
      <c r="S31" s="80"/>
    </row>
    <row r="32" spans="2:19" s="81" customFormat="1" ht="15.75">
      <c r="B32" s="82" t="s">
        <v>201</v>
      </c>
      <c r="C32" s="83">
        <f aca="true" t="shared" si="4" ref="C32:H32">C33+C34+C35+C36+C37</f>
        <v>0</v>
      </c>
      <c r="D32" s="83">
        <f t="shared" si="4"/>
        <v>0</v>
      </c>
      <c r="E32" s="83">
        <f t="shared" si="4"/>
        <v>0</v>
      </c>
      <c r="F32" s="83">
        <f t="shared" si="4"/>
        <v>0</v>
      </c>
      <c r="G32" s="83">
        <f t="shared" si="4"/>
        <v>0</v>
      </c>
      <c r="H32" s="83">
        <f t="shared" si="4"/>
        <v>0</v>
      </c>
      <c r="I32" s="83">
        <f aca="true" t="shared" si="5" ref="I32:O32">I33+I34+I35+I36+I37</f>
        <v>12587.77</v>
      </c>
      <c r="J32" s="83">
        <f t="shared" si="5"/>
        <v>20356.02</v>
      </c>
      <c r="K32" s="83">
        <f t="shared" si="5"/>
        <v>19732.809999999998</v>
      </c>
      <c r="L32" s="83">
        <f t="shared" si="5"/>
        <v>24712.909999999996</v>
      </c>
      <c r="M32" s="83">
        <f t="shared" si="5"/>
        <v>45274.78</v>
      </c>
      <c r="N32" s="83">
        <f t="shared" si="5"/>
        <v>61586.75</v>
      </c>
      <c r="O32" s="83">
        <f t="shared" si="5"/>
        <v>78001.62</v>
      </c>
      <c r="P32" s="86">
        <f t="shared" si="0"/>
        <v>262252.66</v>
      </c>
      <c r="Q32" s="83">
        <f>Q33+Q34+Q35+Q36+Q37</f>
        <v>127392.89</v>
      </c>
      <c r="R32" s="83">
        <f t="shared" si="1"/>
        <v>134859.76999999996</v>
      </c>
      <c r="S32" s="84"/>
    </row>
    <row r="33" spans="2:19" s="93" customFormat="1" ht="15.75">
      <c r="B33" s="85" t="s">
        <v>125</v>
      </c>
      <c r="C33" s="94"/>
      <c r="D33" s="94"/>
      <c r="E33" s="94"/>
      <c r="F33" s="94"/>
      <c r="G33" s="94"/>
      <c r="H33" s="94"/>
      <c r="I33" s="94">
        <v>2144.94</v>
      </c>
      <c r="J33" s="94">
        <v>1375.4</v>
      </c>
      <c r="K33" s="94">
        <v>3174</v>
      </c>
      <c r="L33" s="94">
        <v>3385.6</v>
      </c>
      <c r="M33" s="94">
        <v>2750.8</v>
      </c>
      <c r="N33" s="94">
        <v>2433.4</v>
      </c>
      <c r="O33" s="94">
        <v>2539.2</v>
      </c>
      <c r="P33" s="87">
        <f t="shared" si="0"/>
        <v>17803.34</v>
      </c>
      <c r="Q33" s="94">
        <v>12513.34</v>
      </c>
      <c r="R33" s="94">
        <f t="shared" si="1"/>
        <v>5290</v>
      </c>
      <c r="S33" s="95">
        <f>P33+P34</f>
        <v>33290.69</v>
      </c>
    </row>
    <row r="34" spans="2:19" s="93" customFormat="1" ht="15.75">
      <c r="B34" s="85" t="s">
        <v>159</v>
      </c>
      <c r="C34" s="94"/>
      <c r="D34" s="94"/>
      <c r="E34" s="94"/>
      <c r="F34" s="94"/>
      <c r="G34" s="94"/>
      <c r="H34" s="94"/>
      <c r="I34" s="94">
        <v>1904.57</v>
      </c>
      <c r="J34" s="94">
        <v>2846.2</v>
      </c>
      <c r="K34" s="94">
        <v>2169.86</v>
      </c>
      <c r="L34" s="94">
        <v>2846.18</v>
      </c>
      <c r="M34" s="94">
        <v>2028.96</v>
      </c>
      <c r="N34" s="94">
        <v>1831.7</v>
      </c>
      <c r="O34" s="94">
        <v>1859.88</v>
      </c>
      <c r="P34" s="87">
        <f t="shared" si="0"/>
        <v>15487.350000000002</v>
      </c>
      <c r="Q34" s="94">
        <v>11767.57</v>
      </c>
      <c r="R34" s="94">
        <f t="shared" si="1"/>
        <v>3719.7800000000025</v>
      </c>
      <c r="S34" s="95"/>
    </row>
    <row r="35" spans="2:19" s="93" customFormat="1" ht="15.75">
      <c r="B35" s="85" t="s">
        <v>160</v>
      </c>
      <c r="C35" s="94"/>
      <c r="D35" s="94"/>
      <c r="E35" s="94"/>
      <c r="F35" s="94"/>
      <c r="G35" s="94"/>
      <c r="H35" s="94"/>
      <c r="I35" s="94">
        <v>1561.34</v>
      </c>
      <c r="J35" s="94">
        <v>2046.3</v>
      </c>
      <c r="K35" s="94">
        <v>1920.65</v>
      </c>
      <c r="L35" s="94">
        <v>2387.35</v>
      </c>
      <c r="M35" s="94">
        <v>1759.1</v>
      </c>
      <c r="N35" s="94">
        <v>1579.6</v>
      </c>
      <c r="O35" s="94">
        <v>1615.5</v>
      </c>
      <c r="P35" s="87">
        <f t="shared" si="0"/>
        <v>12869.84</v>
      </c>
      <c r="Q35" s="94">
        <v>9602.4</v>
      </c>
      <c r="R35" s="94">
        <f t="shared" si="1"/>
        <v>3267.4400000000005</v>
      </c>
      <c r="S35" s="95"/>
    </row>
    <row r="36" spans="2:19" s="93" customFormat="1" ht="15.75">
      <c r="B36" s="85" t="s">
        <v>120</v>
      </c>
      <c r="C36" s="94"/>
      <c r="D36" s="94"/>
      <c r="E36" s="94"/>
      <c r="F36" s="94"/>
      <c r="G36" s="94"/>
      <c r="H36" s="94"/>
      <c r="I36" s="94">
        <v>6976.92</v>
      </c>
      <c r="J36" s="94">
        <v>14088.12</v>
      </c>
      <c r="K36" s="94">
        <v>12468.3</v>
      </c>
      <c r="L36" s="94">
        <v>12318.54</v>
      </c>
      <c r="M36" s="94">
        <v>10240.55</v>
      </c>
      <c r="N36" s="94">
        <v>9173.99</v>
      </c>
      <c r="O36" s="94">
        <v>11272.25</v>
      </c>
      <c r="P36" s="87">
        <f t="shared" si="0"/>
        <v>76538.66999999998</v>
      </c>
      <c r="Q36" s="94">
        <v>56124.33</v>
      </c>
      <c r="R36" s="94">
        <f t="shared" si="1"/>
        <v>20414.339999999982</v>
      </c>
      <c r="S36" s="95"/>
    </row>
    <row r="37" spans="2:19" s="93" customFormat="1" ht="15.75">
      <c r="B37" s="85" t="s">
        <v>106</v>
      </c>
      <c r="C37" s="94"/>
      <c r="D37" s="94"/>
      <c r="E37" s="94"/>
      <c r="F37" s="94"/>
      <c r="G37" s="94"/>
      <c r="H37" s="94"/>
      <c r="I37" s="94"/>
      <c r="J37" s="94"/>
      <c r="K37" s="94"/>
      <c r="L37" s="94">
        <v>3775.24</v>
      </c>
      <c r="M37" s="94">
        <v>28495.37</v>
      </c>
      <c r="N37" s="94">
        <v>46568.06</v>
      </c>
      <c r="O37" s="94">
        <v>60714.79</v>
      </c>
      <c r="P37" s="87">
        <f t="shared" si="0"/>
        <v>139553.46</v>
      </c>
      <c r="Q37" s="94">
        <v>37385.25</v>
      </c>
      <c r="R37" s="94">
        <f t="shared" si="1"/>
        <v>102168.20999999999</v>
      </c>
      <c r="S37" s="95"/>
    </row>
    <row r="38" spans="2:19" s="81" customFormat="1" ht="15.75">
      <c r="B38" s="82" t="s">
        <v>110</v>
      </c>
      <c r="C38" s="83">
        <f aca="true" t="shared" si="6" ref="C38:R38">C22+C24+C26+C28+C29+C30+C25+C27+C23+C32</f>
        <v>0</v>
      </c>
      <c r="D38" s="83">
        <f>D22+D24+D26+D28+D29+D30+D25+D27+D23+D32</f>
        <v>0</v>
      </c>
      <c r="E38" s="83">
        <f t="shared" si="6"/>
        <v>0</v>
      </c>
      <c r="F38" s="83">
        <f t="shared" si="6"/>
        <v>0</v>
      </c>
      <c r="G38" s="83">
        <f t="shared" si="6"/>
        <v>0</v>
      </c>
      <c r="H38" s="83">
        <f t="shared" si="6"/>
        <v>0</v>
      </c>
      <c r="I38" s="83">
        <f t="shared" si="6"/>
        <v>143784.99</v>
      </c>
      <c r="J38" s="83">
        <f t="shared" si="6"/>
        <v>139075.8</v>
      </c>
      <c r="K38" s="83">
        <f t="shared" si="6"/>
        <v>140138.35</v>
      </c>
      <c r="L38" s="83">
        <f t="shared" si="6"/>
        <v>185962.98</v>
      </c>
      <c r="M38" s="83">
        <f t="shared" si="6"/>
        <v>340120.80000000005</v>
      </c>
      <c r="N38" s="83">
        <f t="shared" si="6"/>
        <v>373969.96</v>
      </c>
      <c r="O38" s="83">
        <f t="shared" si="6"/>
        <v>483642.45</v>
      </c>
      <c r="P38" s="83">
        <f t="shared" si="6"/>
        <v>1806695.3299999998</v>
      </c>
      <c r="Q38" s="83">
        <f t="shared" si="6"/>
        <v>1092100.0599999998</v>
      </c>
      <c r="R38" s="83">
        <f t="shared" si="6"/>
        <v>714595.2699999998</v>
      </c>
      <c r="S38" s="84"/>
    </row>
    <row r="39" spans="2:19" s="81" customFormat="1" ht="15.75">
      <c r="B39" s="82" t="s">
        <v>111</v>
      </c>
      <c r="C39" s="83">
        <f aca="true" t="shared" si="7" ref="C39:I39">C38+C19</f>
        <v>0</v>
      </c>
      <c r="D39" s="83">
        <f t="shared" si="7"/>
        <v>0</v>
      </c>
      <c r="E39" s="83">
        <f t="shared" si="7"/>
        <v>0</v>
      </c>
      <c r="F39" s="83">
        <f t="shared" si="7"/>
        <v>0</v>
      </c>
      <c r="G39" s="83">
        <f t="shared" si="7"/>
        <v>0</v>
      </c>
      <c r="H39" s="83">
        <f t="shared" si="7"/>
        <v>0</v>
      </c>
      <c r="I39" s="83">
        <f t="shared" si="7"/>
        <v>444344.87</v>
      </c>
      <c r="J39" s="83">
        <f aca="true" t="shared" si="8" ref="J39:O39">J38+J19</f>
        <v>427386.21</v>
      </c>
      <c r="K39" s="83">
        <f t="shared" si="8"/>
        <v>438091.80000000005</v>
      </c>
      <c r="L39" s="83">
        <f t="shared" si="8"/>
        <v>483797.43000000005</v>
      </c>
      <c r="M39" s="83">
        <f t="shared" si="8"/>
        <v>590503.4600000001</v>
      </c>
      <c r="N39" s="83">
        <f t="shared" si="8"/>
        <v>664549.53</v>
      </c>
      <c r="O39" s="83">
        <f t="shared" si="8"/>
        <v>755235.24</v>
      </c>
      <c r="P39" s="83">
        <f>P38+P19+P20</f>
        <v>3728485.8349999995</v>
      </c>
      <c r="Q39" s="83">
        <f>Q38+Q19+Q20</f>
        <v>2591217.4869999997</v>
      </c>
      <c r="R39" s="83">
        <f t="shared" si="1"/>
        <v>1137268.3479999998</v>
      </c>
      <c r="S39" s="84"/>
    </row>
    <row r="40" spans="2:19" s="81" customFormat="1" ht="1.5" customHeight="1">
      <c r="B40" s="85" t="s">
        <v>99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 t="e">
        <f>#REF!+#REF!</f>
        <v>#REF!</v>
      </c>
      <c r="R40" s="83"/>
      <c r="S40" s="84"/>
    </row>
    <row r="41" spans="2:19" s="81" customFormat="1" ht="15.75" hidden="1">
      <c r="B41" s="85" t="s">
        <v>100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 t="e">
        <f>#REF!</f>
        <v>#REF!</v>
      </c>
      <c r="R41" s="83"/>
      <c r="S41" s="84"/>
    </row>
    <row r="42" spans="2:19" s="81" customFormat="1" ht="15.75" hidden="1">
      <c r="B42" s="88" t="s">
        <v>101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 t="e">
        <f>#REF!+#REF!</f>
        <v>#REF!</v>
      </c>
      <c r="R42" s="96"/>
      <c r="S42" s="84"/>
    </row>
    <row r="43" spans="2:19" s="81" customFormat="1" ht="15.75"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84"/>
    </row>
    <row r="44" spans="1:19" s="101" customFormat="1" ht="17.25" customHeight="1">
      <c r="A44" s="99"/>
      <c r="B44" s="209" t="s">
        <v>200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1"/>
      <c r="S44" s="100"/>
    </row>
    <row r="45" spans="1:19" s="101" customFormat="1" ht="17.25" customHeight="1">
      <c r="A45" s="102"/>
      <c r="B45" s="212" t="s">
        <v>92</v>
      </c>
      <c r="C45" s="212"/>
      <c r="D45" s="103"/>
      <c r="E45" s="103"/>
      <c r="F45" s="103"/>
      <c r="G45" s="103"/>
      <c r="H45" s="103"/>
      <c r="I45" s="103"/>
      <c r="J45" s="104"/>
      <c r="K45" s="104"/>
      <c r="L45" s="104"/>
      <c r="M45" s="104"/>
      <c r="N45" s="104"/>
      <c r="O45" s="104"/>
      <c r="P45" s="104"/>
      <c r="Q45" s="100"/>
      <c r="R45" s="105"/>
      <c r="S45" s="100"/>
    </row>
    <row r="46" spans="1:19" s="109" customFormat="1" ht="51.75">
      <c r="A46" s="106" t="s">
        <v>112</v>
      </c>
      <c r="B46" s="107" t="s">
        <v>113</v>
      </c>
      <c r="C46" s="66" t="s">
        <v>198</v>
      </c>
      <c r="D46" s="67" t="s">
        <v>77</v>
      </c>
      <c r="E46" s="67" t="s">
        <v>78</v>
      </c>
      <c r="F46" s="67" t="s">
        <v>79</v>
      </c>
      <c r="G46" s="67" t="s">
        <v>80</v>
      </c>
      <c r="H46" s="67" t="s">
        <v>81</v>
      </c>
      <c r="I46" s="67" t="s">
        <v>82</v>
      </c>
      <c r="J46" s="67" t="s">
        <v>83</v>
      </c>
      <c r="K46" s="67" t="s">
        <v>84</v>
      </c>
      <c r="L46" s="67" t="s">
        <v>85</v>
      </c>
      <c r="M46" s="67" t="s">
        <v>86</v>
      </c>
      <c r="N46" s="67" t="s">
        <v>87</v>
      </c>
      <c r="O46" s="67" t="s">
        <v>88</v>
      </c>
      <c r="P46" s="67" t="s">
        <v>89</v>
      </c>
      <c r="Q46" s="66" t="s">
        <v>90</v>
      </c>
      <c r="R46" s="66" t="s">
        <v>91</v>
      </c>
      <c r="S46" s="108"/>
    </row>
    <row r="47" spans="1:21" s="114" customFormat="1" ht="14.25">
      <c r="A47" s="110">
        <v>1</v>
      </c>
      <c r="B47" s="152" t="s">
        <v>138</v>
      </c>
      <c r="C47" s="112">
        <f>C48+C52+C53+C54+C55+C56+C57+C58+C63</f>
        <v>0</v>
      </c>
      <c r="D47" s="112">
        <f>D48+D52+D53+D54+D55+D56+D57+D58+D63+D59+D60+D61+D62</f>
        <v>0</v>
      </c>
      <c r="E47" s="112">
        <f>E48+E52+E53+E54+E55+E56+E57+E58+E63+E59+E60+E61+E62+F62</f>
        <v>0</v>
      </c>
      <c r="F47" s="112">
        <f aca="true" t="shared" si="9" ref="F47:O47">F48+F52+F53+F54+F55+F56+F57+F58+F63+F59+F60+F61+F62+G62</f>
        <v>0</v>
      </c>
      <c r="G47" s="112">
        <f t="shared" si="9"/>
        <v>0</v>
      </c>
      <c r="H47" s="112">
        <f t="shared" si="9"/>
        <v>0</v>
      </c>
      <c r="I47" s="112">
        <f t="shared" si="9"/>
        <v>137464.64</v>
      </c>
      <c r="J47" s="112">
        <f t="shared" si="9"/>
        <v>137724.59999999998</v>
      </c>
      <c r="K47" s="112">
        <f t="shared" si="9"/>
        <v>145341.31</v>
      </c>
      <c r="L47" s="112">
        <f t="shared" si="9"/>
        <v>134743.34</v>
      </c>
      <c r="M47" s="112">
        <f t="shared" si="9"/>
        <v>143195.29999999996</v>
      </c>
      <c r="N47" s="112">
        <f t="shared" si="9"/>
        <v>143991.11</v>
      </c>
      <c r="O47" s="112">
        <f t="shared" si="9"/>
        <v>143232.02</v>
      </c>
      <c r="P47" s="112">
        <f aca="true" t="shared" si="10" ref="P47:P72">SUM(D47:O47)</f>
        <v>985692.32</v>
      </c>
      <c r="Q47" s="112">
        <f>Q48+Q52+Q53+Q54+Q55+Q56+Q57+Q58+Q63</f>
        <v>751593.1500000001</v>
      </c>
      <c r="R47" s="160">
        <f>C47+P47-Q47</f>
        <v>234099.1699999998</v>
      </c>
      <c r="S47" s="113"/>
      <c r="T47" s="114" t="e">
        <f>#REF!/3</f>
        <v>#REF!</v>
      </c>
      <c r="U47" s="113" t="e">
        <f>#REF!+#REF!</f>
        <v>#REF!</v>
      </c>
    </row>
    <row r="48" spans="1:21" ht="31.5" customHeight="1">
      <c r="A48" s="122"/>
      <c r="B48" s="151" t="s">
        <v>132</v>
      </c>
      <c r="C48" s="165"/>
      <c r="D48" s="165">
        <f>D49+D50+D51</f>
        <v>0</v>
      </c>
      <c r="E48" s="165">
        <f aca="true" t="shared" si="11" ref="E48:R48">E49+E50+E51</f>
        <v>0</v>
      </c>
      <c r="F48" s="165">
        <f t="shared" si="11"/>
        <v>0</v>
      </c>
      <c r="G48" s="165">
        <f t="shared" si="11"/>
        <v>0</v>
      </c>
      <c r="H48" s="165">
        <f t="shared" si="11"/>
        <v>0</v>
      </c>
      <c r="I48" s="165">
        <f t="shared" si="11"/>
        <v>51285.78</v>
      </c>
      <c r="J48" s="165">
        <f t="shared" si="11"/>
        <v>51285.759999999995</v>
      </c>
      <c r="K48" s="165">
        <f t="shared" si="11"/>
        <v>49450.979999999996</v>
      </c>
      <c r="L48" s="165">
        <f t="shared" si="11"/>
        <v>51285.8</v>
      </c>
      <c r="M48" s="165">
        <f t="shared" si="11"/>
        <v>57921.9</v>
      </c>
      <c r="N48" s="165">
        <f>N49+N50+N51</f>
        <v>52521.41</v>
      </c>
      <c r="O48" s="165">
        <f t="shared" si="11"/>
        <v>58638.119999999995</v>
      </c>
      <c r="P48" s="165">
        <f t="shared" si="11"/>
        <v>372389.75000000006</v>
      </c>
      <c r="Q48" s="165">
        <f t="shared" si="11"/>
        <v>313751.63000000006</v>
      </c>
      <c r="R48" s="165">
        <f t="shared" si="11"/>
        <v>58638.11999999999</v>
      </c>
      <c r="T48" s="114" t="e">
        <f>#REF!/3</f>
        <v>#REF!</v>
      </c>
      <c r="U48" s="126" t="e">
        <f>#REF!+#REF!</f>
        <v>#REF!</v>
      </c>
    </row>
    <row r="49" spans="1:20" s="121" customFormat="1" ht="15">
      <c r="A49" s="115"/>
      <c r="B49" s="150" t="s">
        <v>126</v>
      </c>
      <c r="C49" s="166"/>
      <c r="D49" s="166">
        <f>январь!E11</f>
        <v>0</v>
      </c>
      <c r="E49" s="166">
        <f>февраль!E11</f>
        <v>0</v>
      </c>
      <c r="F49" s="166">
        <f>март!E11</f>
        <v>0</v>
      </c>
      <c r="G49" s="166">
        <f>апрель!E11</f>
        <v>0</v>
      </c>
      <c r="H49" s="116">
        <f>май!E11</f>
        <v>0</v>
      </c>
      <c r="I49" s="116">
        <f>июнь!E11</f>
        <v>41468.7</v>
      </c>
      <c r="J49" s="116">
        <f>июль!E11</f>
        <v>41468.7</v>
      </c>
      <c r="K49" s="117">
        <f>август!E11</f>
        <v>39633.89</v>
      </c>
      <c r="L49" s="117">
        <f>сентябрь!E11</f>
        <v>41468.72</v>
      </c>
      <c r="M49" s="117">
        <f>октябрь!E11</f>
        <v>48104.83</v>
      </c>
      <c r="N49" s="117">
        <f>ноябрь!E11</f>
        <v>42704.33</v>
      </c>
      <c r="O49" s="117">
        <f>декабрь!E11</f>
        <v>48821.02</v>
      </c>
      <c r="P49" s="118">
        <f t="shared" si="10"/>
        <v>303670.19000000006</v>
      </c>
      <c r="Q49" s="119">
        <f>P49-O49</f>
        <v>254849.17000000007</v>
      </c>
      <c r="R49" s="154">
        <f aca="true" t="shared" si="12" ref="R49:R115">C49+P49-Q49</f>
        <v>48821.01999999999</v>
      </c>
      <c r="S49" s="120"/>
      <c r="T49" s="114"/>
    </row>
    <row r="50" spans="1:20" s="121" customFormat="1" ht="15">
      <c r="A50" s="115"/>
      <c r="B50" s="150" t="s">
        <v>127</v>
      </c>
      <c r="C50" s="166"/>
      <c r="D50" s="166">
        <f>январь!E12</f>
        <v>0</v>
      </c>
      <c r="E50" s="166">
        <f>февраль!E12</f>
        <v>0</v>
      </c>
      <c r="F50" s="166">
        <f>март!E12</f>
        <v>0</v>
      </c>
      <c r="G50" s="166">
        <f>апрель!E12</f>
        <v>0</v>
      </c>
      <c r="H50" s="116">
        <f>май!E12</f>
        <v>0</v>
      </c>
      <c r="I50" s="116">
        <f>июнь!E12</f>
        <v>9817.08</v>
      </c>
      <c r="J50" s="116">
        <f>июль!E12</f>
        <v>9817.06</v>
      </c>
      <c r="K50" s="117">
        <f>август!E12</f>
        <v>9817.09</v>
      </c>
      <c r="L50" s="117">
        <f>сентябрь!E12</f>
        <v>9817.08</v>
      </c>
      <c r="M50" s="117">
        <f>октябрь!E12</f>
        <v>9817.07</v>
      </c>
      <c r="N50" s="117">
        <f>ноябрь!E12</f>
        <v>9817.08</v>
      </c>
      <c r="O50" s="117">
        <f>декабрь!E12</f>
        <v>9817.1</v>
      </c>
      <c r="P50" s="118">
        <f t="shared" si="10"/>
        <v>68719.56</v>
      </c>
      <c r="Q50" s="119">
        <f>P50-O50</f>
        <v>58902.46</v>
      </c>
      <c r="R50" s="154">
        <f t="shared" si="12"/>
        <v>9817.099999999999</v>
      </c>
      <c r="S50" s="120"/>
      <c r="T50" s="114"/>
    </row>
    <row r="51" spans="1:20" s="121" customFormat="1" ht="15">
      <c r="A51" s="115"/>
      <c r="B51" s="150" t="s">
        <v>133</v>
      </c>
      <c r="C51" s="166"/>
      <c r="D51" s="166">
        <f>январь!E13</f>
        <v>0</v>
      </c>
      <c r="E51" s="166"/>
      <c r="F51" s="166">
        <f>март!E13</f>
        <v>0</v>
      </c>
      <c r="G51" s="166">
        <f>апрель!E13</f>
        <v>0</v>
      </c>
      <c r="H51" s="116">
        <f>май!E13</f>
        <v>0</v>
      </c>
      <c r="I51" s="116">
        <f>июнь!E13</f>
        <v>0</v>
      </c>
      <c r="J51" s="116">
        <f>июль!E13</f>
        <v>0</v>
      </c>
      <c r="K51" s="117">
        <f>август!E13</f>
        <v>0</v>
      </c>
      <c r="L51" s="117">
        <f>сентябрь!E13</f>
        <v>0</v>
      </c>
      <c r="M51" s="117">
        <f>октябрь!E13</f>
        <v>0</v>
      </c>
      <c r="N51" s="117">
        <f>ноябрь!E13</f>
        <v>0</v>
      </c>
      <c r="O51" s="117">
        <f>декабрь!E13</f>
        <v>0</v>
      </c>
      <c r="P51" s="124">
        <f t="shared" si="10"/>
        <v>0</v>
      </c>
      <c r="Q51" s="119"/>
      <c r="R51" s="154">
        <f t="shared" si="12"/>
        <v>0</v>
      </c>
      <c r="S51" s="120"/>
      <c r="T51" s="114"/>
    </row>
    <row r="52" spans="1:20" ht="15">
      <c r="A52" s="122"/>
      <c r="B52" s="155" t="s">
        <v>128</v>
      </c>
      <c r="C52" s="165"/>
      <c r="D52" s="165">
        <f>январь!F28-Свод!D53</f>
        <v>0</v>
      </c>
      <c r="E52" s="165">
        <f>февраль!F28-Свод!E53</f>
        <v>0</v>
      </c>
      <c r="F52" s="165">
        <f>март!F28-F53</f>
        <v>0</v>
      </c>
      <c r="G52" s="166">
        <f>апрель!F28-F53</f>
        <v>0</v>
      </c>
      <c r="H52" s="124">
        <f>май!F28-Свод!H53</f>
        <v>0</v>
      </c>
      <c r="I52" s="124">
        <f>июнь!F28-Свод!I53</f>
        <v>630</v>
      </c>
      <c r="J52" s="125">
        <f>июль!F28-Свод!J53</f>
        <v>855</v>
      </c>
      <c r="K52" s="125">
        <f>август!F28-Свод!K53</f>
        <v>423</v>
      </c>
      <c r="L52" s="125">
        <f>сентябрь!F28-Свод!L53</f>
        <v>398</v>
      </c>
      <c r="M52" s="125">
        <f>октябрь!F28-Свод!M53</f>
        <v>524</v>
      </c>
      <c r="N52" s="125">
        <f>ноябрь!F28-Свод!N53</f>
        <v>5550.48</v>
      </c>
      <c r="O52" s="125">
        <f>декабрь!F28-Свод!O53</f>
        <v>368</v>
      </c>
      <c r="P52" s="124">
        <f t="shared" si="10"/>
        <v>8748.48</v>
      </c>
      <c r="Q52" s="125">
        <f>P52</f>
        <v>8748.48</v>
      </c>
      <c r="R52" s="154">
        <f t="shared" si="12"/>
        <v>0</v>
      </c>
      <c r="T52" s="114"/>
    </row>
    <row r="53" spans="1:20" ht="15">
      <c r="A53" s="122"/>
      <c r="B53" s="155" t="s">
        <v>129</v>
      </c>
      <c r="C53" s="165"/>
      <c r="D53" s="165">
        <f>январь!F14</f>
        <v>0</v>
      </c>
      <c r="E53" s="165">
        <f>февраль!F14</f>
        <v>0</v>
      </c>
      <c r="F53" s="165">
        <f>март!F14</f>
        <v>0</v>
      </c>
      <c r="G53" s="166">
        <f>апрель!F14</f>
        <v>0</v>
      </c>
      <c r="H53" s="124">
        <f>май!G14</f>
        <v>0</v>
      </c>
      <c r="I53" s="124">
        <f>июнь!G14</f>
        <v>250</v>
      </c>
      <c r="J53" s="125">
        <f>июль!G14</f>
        <v>220</v>
      </c>
      <c r="K53" s="125">
        <f>август!G14</f>
        <v>246</v>
      </c>
      <c r="L53" s="125">
        <f>сентябрь!G14</f>
        <v>248</v>
      </c>
      <c r="M53" s="125">
        <f>октябрь!G14</f>
        <v>252</v>
      </c>
      <c r="N53" s="125">
        <f>ноябрь!G14</f>
        <v>430.7</v>
      </c>
      <c r="O53" s="125">
        <f>декабрь!G14</f>
        <v>248</v>
      </c>
      <c r="P53" s="124">
        <f t="shared" si="10"/>
        <v>1894.7</v>
      </c>
      <c r="Q53" s="125">
        <f>P53</f>
        <v>1894.7</v>
      </c>
      <c r="R53" s="154">
        <f t="shared" si="12"/>
        <v>0</v>
      </c>
      <c r="T53" s="114"/>
    </row>
    <row r="54" spans="1:20" ht="15">
      <c r="A54" s="122"/>
      <c r="B54" s="157" t="s">
        <v>21</v>
      </c>
      <c r="C54" s="165"/>
      <c r="D54" s="166">
        <f>январь!E15</f>
        <v>0</v>
      </c>
      <c r="E54" s="165">
        <f>февраль!F15</f>
        <v>0</v>
      </c>
      <c r="F54" s="165">
        <f>март!G15</f>
        <v>0</v>
      </c>
      <c r="G54" s="166">
        <f>апрель!E15</f>
        <v>0</v>
      </c>
      <c r="H54" s="124">
        <f>май!G15</f>
        <v>0</v>
      </c>
      <c r="I54" s="124">
        <f>июнь!G15</f>
        <v>46428.48</v>
      </c>
      <c r="J54" s="125">
        <f>июль!G15</f>
        <v>46428.48</v>
      </c>
      <c r="K54" s="125">
        <f>август!G15</f>
        <v>46428.48</v>
      </c>
      <c r="L54" s="125">
        <f>сентябрь!G15</f>
        <v>46428.48</v>
      </c>
      <c r="M54" s="125">
        <f>октябрь!G15</f>
        <v>46428.48</v>
      </c>
      <c r="N54" s="125">
        <f>ноябрь!G15</f>
        <v>46428.48</v>
      </c>
      <c r="O54" s="125">
        <f>декабрь!G15</f>
        <v>46428.48</v>
      </c>
      <c r="P54" s="124">
        <f t="shared" si="10"/>
        <v>324999.36</v>
      </c>
      <c r="Q54" s="125">
        <f>Q11</f>
        <v>243477.13</v>
      </c>
      <c r="R54" s="154">
        <f t="shared" si="12"/>
        <v>81522.22999999998</v>
      </c>
      <c r="T54" s="114"/>
    </row>
    <row r="55" spans="1:20" ht="15.75">
      <c r="A55" s="122"/>
      <c r="B55" s="77" t="s">
        <v>166</v>
      </c>
      <c r="C55" s="165"/>
      <c r="D55" s="165">
        <f>январь!E16</f>
        <v>0</v>
      </c>
      <c r="E55" s="165">
        <f>февраль!E16</f>
        <v>0</v>
      </c>
      <c r="F55" s="165">
        <f>март!G16</f>
        <v>0</v>
      </c>
      <c r="G55" s="166">
        <f>апрель!E16</f>
        <v>0</v>
      </c>
      <c r="H55" s="124">
        <f>май!G16</f>
        <v>0</v>
      </c>
      <c r="I55" s="124">
        <f>июнь!G16</f>
        <v>26654.9</v>
      </c>
      <c r="J55" s="125">
        <f>июль!G16</f>
        <v>26654.9</v>
      </c>
      <c r="K55" s="125">
        <f>август!G16</f>
        <v>26654.9</v>
      </c>
      <c r="L55" s="125">
        <f>сентябрь!G16</f>
        <v>26654.9</v>
      </c>
      <c r="M55" s="125">
        <f>октябрь!G16</f>
        <v>26654.9</v>
      </c>
      <c r="N55" s="125">
        <f>ноябрь!G16</f>
        <v>26654.9</v>
      </c>
      <c r="O55" s="125">
        <f>декабрь!G16</f>
        <v>26654.9</v>
      </c>
      <c r="P55" s="124">
        <f t="shared" si="10"/>
        <v>186584.3</v>
      </c>
      <c r="Q55" s="125">
        <f>Q10</f>
        <v>128223.79</v>
      </c>
      <c r="R55" s="154">
        <f t="shared" si="12"/>
        <v>58360.509999999995</v>
      </c>
      <c r="T55" s="114"/>
    </row>
    <row r="56" spans="1:20" ht="15">
      <c r="A56" s="122"/>
      <c r="B56" s="155" t="s">
        <v>130</v>
      </c>
      <c r="C56" s="165"/>
      <c r="D56" s="165">
        <f>январь!E17</f>
        <v>0</v>
      </c>
      <c r="E56" s="165">
        <f>февраль!E17</f>
        <v>0</v>
      </c>
      <c r="F56" s="165">
        <f>март!G17</f>
        <v>0</v>
      </c>
      <c r="G56" s="166">
        <f>апрель!E17</f>
        <v>0</v>
      </c>
      <c r="H56" s="124">
        <f>май!G17</f>
        <v>0</v>
      </c>
      <c r="I56" s="124">
        <f>июнь!G17</f>
        <v>931.8</v>
      </c>
      <c r="J56" s="125">
        <f>июль!G17</f>
        <v>931.8</v>
      </c>
      <c r="K56" s="125">
        <f>август!G17</f>
        <v>931.8</v>
      </c>
      <c r="L56" s="125">
        <f>сентябрь!G17</f>
        <v>931.8</v>
      </c>
      <c r="M56" s="125">
        <f>октябрь!G17</f>
        <v>931.8</v>
      </c>
      <c r="N56" s="125">
        <f>ноябрь!G17</f>
        <v>931.8</v>
      </c>
      <c r="O56" s="125">
        <f>декабрь!G17</f>
        <v>931.8</v>
      </c>
      <c r="P56" s="124">
        <f t="shared" si="10"/>
        <v>6522.6</v>
      </c>
      <c r="Q56" s="125">
        <f>P56-O56</f>
        <v>5590.8</v>
      </c>
      <c r="R56" s="154">
        <f t="shared" si="12"/>
        <v>931.8000000000002</v>
      </c>
      <c r="T56" s="114"/>
    </row>
    <row r="57" spans="1:20" ht="15">
      <c r="A57" s="122"/>
      <c r="B57" s="155" t="s">
        <v>131</v>
      </c>
      <c r="C57" s="165"/>
      <c r="D57" s="165">
        <f>январь!E18</f>
        <v>0</v>
      </c>
      <c r="E57" s="165">
        <f>февраль!E18</f>
        <v>0</v>
      </c>
      <c r="F57" s="165">
        <f>март!G18</f>
        <v>0</v>
      </c>
      <c r="G57" s="166">
        <f>апрель!E18</f>
        <v>0</v>
      </c>
      <c r="H57" s="124">
        <f>май!G18</f>
        <v>0</v>
      </c>
      <c r="I57" s="124">
        <f>июнь!G18</f>
        <v>2733.68</v>
      </c>
      <c r="J57" s="125">
        <f>июль!G18</f>
        <v>2244.3</v>
      </c>
      <c r="K57" s="125">
        <f>август!G18</f>
        <v>4356.04</v>
      </c>
      <c r="L57" s="125">
        <f>сентябрь!G18</f>
        <v>1212.29</v>
      </c>
      <c r="M57" s="125">
        <f>октябрь!G18</f>
        <v>579.61</v>
      </c>
      <c r="N57" s="125">
        <f>ноябрь!G18</f>
        <v>1254.07</v>
      </c>
      <c r="O57" s="125">
        <f>декабрь!G18</f>
        <v>4012.7200000000003</v>
      </c>
      <c r="P57" s="124">
        <f t="shared" si="10"/>
        <v>16392.710000000003</v>
      </c>
      <c r="Q57" s="125">
        <f>P57-O57</f>
        <v>12379.990000000002</v>
      </c>
      <c r="R57" s="154">
        <f t="shared" si="12"/>
        <v>4012.720000000001</v>
      </c>
      <c r="T57" s="114"/>
    </row>
    <row r="58" spans="1:20" ht="15">
      <c r="A58" s="122"/>
      <c r="B58" s="157" t="s">
        <v>50</v>
      </c>
      <c r="C58" s="165"/>
      <c r="D58" s="165">
        <f>январь!E19</f>
        <v>0</v>
      </c>
      <c r="E58" s="165">
        <f>февраль!E19</f>
        <v>0</v>
      </c>
      <c r="F58" s="165">
        <f>март!G19</f>
        <v>0</v>
      </c>
      <c r="G58" s="166">
        <f>апрель!E19</f>
        <v>0</v>
      </c>
      <c r="H58" s="124">
        <f>май!G19</f>
        <v>0</v>
      </c>
      <c r="I58" s="124">
        <f>июнь!G19</f>
        <v>5950</v>
      </c>
      <c r="J58" s="125">
        <f>июль!G19</f>
        <v>5950</v>
      </c>
      <c r="K58" s="125">
        <f>август!G19</f>
        <v>5950</v>
      </c>
      <c r="L58" s="125">
        <f>сентябрь!G19</f>
        <v>5950</v>
      </c>
      <c r="M58" s="125">
        <f>октябрь!G19</f>
        <v>5950</v>
      </c>
      <c r="N58" s="125">
        <f>ноябрь!G19</f>
        <v>5950</v>
      </c>
      <c r="O58" s="125">
        <f>декабрь!G19</f>
        <v>5950</v>
      </c>
      <c r="P58" s="124">
        <f t="shared" si="10"/>
        <v>41650</v>
      </c>
      <c r="Q58" s="125">
        <f>Q12</f>
        <v>32326.63</v>
      </c>
      <c r="R58" s="154">
        <f t="shared" si="12"/>
        <v>9323.369999999999</v>
      </c>
      <c r="T58" s="114"/>
    </row>
    <row r="59" spans="1:20" ht="15">
      <c r="A59" s="122"/>
      <c r="B59" s="157" t="s">
        <v>192</v>
      </c>
      <c r="C59" s="165"/>
      <c r="D59" s="165">
        <f>январь!E20</f>
        <v>0</v>
      </c>
      <c r="E59" s="165">
        <f>февраль!E20</f>
        <v>0</v>
      </c>
      <c r="F59" s="165">
        <f>март!G20</f>
        <v>0</v>
      </c>
      <c r="G59" s="166">
        <f>апрель!E20</f>
        <v>0</v>
      </c>
      <c r="H59" s="124">
        <f>май!G20</f>
        <v>0</v>
      </c>
      <c r="I59" s="124">
        <f>июнь!G20</f>
        <v>0</v>
      </c>
      <c r="J59" s="125">
        <f>июль!G20</f>
        <v>554.36</v>
      </c>
      <c r="K59" s="125">
        <f>август!G20</f>
        <v>3771.72</v>
      </c>
      <c r="L59" s="125">
        <f>сентябрь!G20</f>
        <v>0</v>
      </c>
      <c r="M59" s="125">
        <f>октябрь!G20</f>
        <v>888.52</v>
      </c>
      <c r="N59" s="125">
        <f>ноябрь!G20</f>
        <v>2549.36</v>
      </c>
      <c r="O59" s="125">
        <f>декабрь!G20</f>
        <v>0</v>
      </c>
      <c r="P59" s="124">
        <f t="shared" si="10"/>
        <v>7763.960000000001</v>
      </c>
      <c r="Q59" s="125">
        <f>Q5</f>
        <v>2652.41</v>
      </c>
      <c r="R59" s="154">
        <f t="shared" si="12"/>
        <v>5111.550000000001</v>
      </c>
      <c r="T59" s="114"/>
    </row>
    <row r="60" spans="1:20" ht="15">
      <c r="A60" s="122"/>
      <c r="B60" s="157" t="s">
        <v>193</v>
      </c>
      <c r="C60" s="165"/>
      <c r="D60" s="165">
        <f>январь!E21</f>
        <v>0</v>
      </c>
      <c r="E60" s="165">
        <f>февраль!E21</f>
        <v>0</v>
      </c>
      <c r="F60" s="165">
        <f>март!G21</f>
        <v>0</v>
      </c>
      <c r="G60" s="166">
        <f>апрель!E21</f>
        <v>0</v>
      </c>
      <c r="H60" s="124">
        <f>май!G21</f>
        <v>0</v>
      </c>
      <c r="I60" s="124">
        <f>июнь!G21</f>
        <v>0</v>
      </c>
      <c r="J60" s="125">
        <f>июль!G21</f>
        <v>0</v>
      </c>
      <c r="K60" s="125">
        <f>август!G21</f>
        <v>0</v>
      </c>
      <c r="L60" s="125">
        <f>сентябрь!G21</f>
        <v>0</v>
      </c>
      <c r="M60" s="125">
        <f>октябрь!G21</f>
        <v>0</v>
      </c>
      <c r="N60" s="125">
        <f>ноябрь!G21</f>
        <v>0</v>
      </c>
      <c r="O60" s="125">
        <f>декабрь!G21</f>
        <v>0</v>
      </c>
      <c r="P60" s="124">
        <f t="shared" si="10"/>
        <v>0</v>
      </c>
      <c r="Q60" s="125"/>
      <c r="R60" s="154">
        <f t="shared" si="12"/>
        <v>0</v>
      </c>
      <c r="T60" s="114"/>
    </row>
    <row r="61" spans="1:20" ht="15">
      <c r="A61" s="122"/>
      <c r="B61" s="157" t="s">
        <v>194</v>
      </c>
      <c r="C61" s="165"/>
      <c r="D61" s="165">
        <f>январь!E22</f>
        <v>0</v>
      </c>
      <c r="E61" s="165">
        <f>февраль!E22</f>
        <v>0</v>
      </c>
      <c r="F61" s="165">
        <f>март!G22</f>
        <v>0</v>
      </c>
      <c r="G61" s="166">
        <f>апрель!E22</f>
        <v>0</v>
      </c>
      <c r="H61" s="124">
        <f>май!G22</f>
        <v>0</v>
      </c>
      <c r="I61" s="124">
        <f>июнь!G22</f>
        <v>0</v>
      </c>
      <c r="J61" s="125">
        <f>июль!G22</f>
        <v>0</v>
      </c>
      <c r="K61" s="125">
        <f>август!G22</f>
        <v>7128.39</v>
      </c>
      <c r="L61" s="125">
        <f>сентябрь!G22</f>
        <v>1634.07</v>
      </c>
      <c r="M61" s="125">
        <f>октябрь!G22</f>
        <v>3064.09</v>
      </c>
      <c r="N61" s="125">
        <f>ноябрь!G22</f>
        <v>1719.91</v>
      </c>
      <c r="O61" s="125">
        <f>декабрь!G22</f>
        <v>0</v>
      </c>
      <c r="P61" s="124">
        <f t="shared" si="10"/>
        <v>13546.460000000001</v>
      </c>
      <c r="Q61" s="125">
        <f>Q7</f>
        <v>5008.03</v>
      </c>
      <c r="R61" s="154">
        <f t="shared" si="12"/>
        <v>8538.43</v>
      </c>
      <c r="T61" s="114"/>
    </row>
    <row r="62" spans="1:20" ht="15">
      <c r="A62" s="122"/>
      <c r="B62" s="157" t="s">
        <v>195</v>
      </c>
      <c r="C62" s="165"/>
      <c r="D62" s="165">
        <f>январь!E23</f>
        <v>0</v>
      </c>
      <c r="E62" s="165">
        <f>февраль!E23</f>
        <v>0</v>
      </c>
      <c r="F62" s="165">
        <f>март!G23</f>
        <v>0</v>
      </c>
      <c r="G62" s="166">
        <f>апрель!E23</f>
        <v>0</v>
      </c>
      <c r="H62" s="124">
        <f>май!G23</f>
        <v>0</v>
      </c>
      <c r="I62" s="124">
        <f>июнь!G23</f>
        <v>0</v>
      </c>
      <c r="J62" s="125">
        <f>июль!G23</f>
        <v>0</v>
      </c>
      <c r="K62" s="125">
        <f>август!G23</f>
        <v>0</v>
      </c>
      <c r="L62" s="125">
        <f>сентябрь!G23</f>
        <v>0</v>
      </c>
      <c r="M62" s="125">
        <f>октябрь!G23</f>
        <v>0</v>
      </c>
      <c r="N62" s="125">
        <f>ноябрь!G23</f>
        <v>0</v>
      </c>
      <c r="O62" s="125">
        <f>декабрь!G23</f>
        <v>0</v>
      </c>
      <c r="P62" s="124">
        <f t="shared" si="10"/>
        <v>0</v>
      </c>
      <c r="Q62" s="125"/>
      <c r="R62" s="154">
        <f t="shared" si="12"/>
        <v>0</v>
      </c>
      <c r="T62" s="114"/>
    </row>
    <row r="63" spans="1:20" ht="15">
      <c r="A63" s="122"/>
      <c r="B63" s="157" t="s">
        <v>48</v>
      </c>
      <c r="C63" s="165"/>
      <c r="D63" s="169">
        <f>D64+D67</f>
        <v>0</v>
      </c>
      <c r="E63" s="169">
        <f>E64+E67+E65</f>
        <v>0</v>
      </c>
      <c r="F63" s="169">
        <f>F64+F67</f>
        <v>0</v>
      </c>
      <c r="G63" s="169">
        <f>G64+G65+G66</f>
        <v>0</v>
      </c>
      <c r="H63" s="169">
        <f>H64+H67+H65</f>
        <v>0</v>
      </c>
      <c r="I63" s="169">
        <f>I64+I65+I66+I67</f>
        <v>2600</v>
      </c>
      <c r="J63" s="169">
        <f>J64+J67+J65</f>
        <v>2600</v>
      </c>
      <c r="K63" s="169">
        <f>K64+K67+K65</f>
        <v>0</v>
      </c>
      <c r="L63" s="169">
        <f>L64+L67+L65+L68</f>
        <v>0</v>
      </c>
      <c r="M63" s="169">
        <f>M64+M67+M65</f>
        <v>0</v>
      </c>
      <c r="N63" s="169">
        <f>N64+N67+N65+N69</f>
        <v>0</v>
      </c>
      <c r="O63" s="169">
        <f>O64+O67+O65+O70+O71</f>
        <v>0</v>
      </c>
      <c r="P63" s="112">
        <f t="shared" si="10"/>
        <v>5200</v>
      </c>
      <c r="Q63" s="112">
        <f>Q64+Q65+Q66+Q67</f>
        <v>5200</v>
      </c>
      <c r="R63" s="154">
        <f t="shared" si="12"/>
        <v>0</v>
      </c>
      <c r="T63" s="114"/>
    </row>
    <row r="64" spans="1:20" s="132" customFormat="1" ht="15">
      <c r="A64" s="128"/>
      <c r="B64" s="34" t="s">
        <v>164</v>
      </c>
      <c r="C64" s="166"/>
      <c r="D64" s="165">
        <f>январь!E25</f>
        <v>0</v>
      </c>
      <c r="E64" s="165">
        <f>февраль!E25</f>
        <v>0</v>
      </c>
      <c r="F64" s="166">
        <f>март!G25</f>
        <v>0</v>
      </c>
      <c r="G64" s="166">
        <f>апрель!G25</f>
        <v>0</v>
      </c>
      <c r="H64" s="124">
        <f>май!G25</f>
        <v>0</v>
      </c>
      <c r="I64" s="124">
        <f>июнь!G25</f>
        <v>2600</v>
      </c>
      <c r="J64" s="125">
        <f>июль!G25</f>
        <v>2600</v>
      </c>
      <c r="K64" s="125">
        <f>август!G25</f>
        <v>0</v>
      </c>
      <c r="L64" s="125">
        <f>сентябрь!G25</f>
        <v>0</v>
      </c>
      <c r="M64" s="130">
        <f>октябрь!G21</f>
        <v>0</v>
      </c>
      <c r="N64" s="130">
        <f>ноябрь!G21</f>
        <v>0</v>
      </c>
      <c r="O64" s="130">
        <f>декабрь!G21</f>
        <v>0</v>
      </c>
      <c r="P64" s="118">
        <f t="shared" si="10"/>
        <v>5200</v>
      </c>
      <c r="Q64" s="130">
        <f aca="true" t="shared" si="13" ref="Q64:Q70">P64</f>
        <v>5200</v>
      </c>
      <c r="R64" s="167">
        <f t="shared" si="12"/>
        <v>0</v>
      </c>
      <c r="S64" s="131"/>
      <c r="T64" s="168"/>
    </row>
    <row r="65" spans="1:20" s="132" customFormat="1" ht="15">
      <c r="A65" s="128"/>
      <c r="B65" s="34"/>
      <c r="C65" s="166"/>
      <c r="D65" s="165">
        <f>январь!E26</f>
        <v>0</v>
      </c>
      <c r="E65" s="165">
        <f>февраль!E26</f>
        <v>0</v>
      </c>
      <c r="F65" s="166">
        <f>март!G26</f>
        <v>0</v>
      </c>
      <c r="G65" s="166">
        <f>апрель!G26</f>
        <v>0</v>
      </c>
      <c r="H65" s="124">
        <f>май!G26</f>
        <v>0</v>
      </c>
      <c r="I65" s="124">
        <f>июнь!G26</f>
        <v>0</v>
      </c>
      <c r="J65" s="125">
        <f>июль!G26</f>
        <v>0</v>
      </c>
      <c r="K65" s="125">
        <f>август!G26</f>
        <v>0</v>
      </c>
      <c r="L65" s="125">
        <f>сентябрь!G26</f>
        <v>0</v>
      </c>
      <c r="M65" s="130"/>
      <c r="N65" s="130">
        <f>ноябрь!G21</f>
        <v>0</v>
      </c>
      <c r="O65" s="130"/>
      <c r="P65" s="118">
        <f t="shared" si="10"/>
        <v>0</v>
      </c>
      <c r="Q65" s="130">
        <f t="shared" si="13"/>
        <v>0</v>
      </c>
      <c r="R65" s="167">
        <f t="shared" si="12"/>
        <v>0</v>
      </c>
      <c r="S65" s="131"/>
      <c r="T65" s="168"/>
    </row>
    <row r="66" spans="1:20" s="132" customFormat="1" ht="15">
      <c r="A66" s="128"/>
      <c r="B66" s="34"/>
      <c r="C66" s="166"/>
      <c r="D66" s="166"/>
      <c r="E66" s="165">
        <f>февраль!E27</f>
        <v>0</v>
      </c>
      <c r="F66" s="166">
        <f>март!G27</f>
        <v>0</v>
      </c>
      <c r="G66" s="166">
        <f>апрель!G27</f>
        <v>0</v>
      </c>
      <c r="H66" s="124">
        <f>май!G27</f>
        <v>0</v>
      </c>
      <c r="I66" s="124">
        <f>июнь!G27</f>
        <v>0</v>
      </c>
      <c r="J66" s="125">
        <f>июль!G27</f>
        <v>0</v>
      </c>
      <c r="K66" s="125">
        <f>август!G27</f>
        <v>0</v>
      </c>
      <c r="L66" s="125">
        <f>сентябрь!G27</f>
        <v>0</v>
      </c>
      <c r="M66" s="130"/>
      <c r="N66" s="130"/>
      <c r="O66" s="130"/>
      <c r="P66" s="118">
        <f t="shared" si="10"/>
        <v>0</v>
      </c>
      <c r="Q66" s="130">
        <f t="shared" si="13"/>
        <v>0</v>
      </c>
      <c r="R66" s="167">
        <f t="shared" si="12"/>
        <v>0</v>
      </c>
      <c r="S66" s="131"/>
      <c r="T66" s="168"/>
    </row>
    <row r="67" spans="1:20" s="132" customFormat="1" ht="15">
      <c r="A67" s="128"/>
      <c r="B67" s="34"/>
      <c r="C67" s="166"/>
      <c r="D67" s="166"/>
      <c r="E67" s="165"/>
      <c r="F67" s="166"/>
      <c r="G67" s="166"/>
      <c r="H67" s="118"/>
      <c r="I67" s="124">
        <f>июнь!G22</f>
        <v>0</v>
      </c>
      <c r="J67" s="130">
        <f>июль!G22</f>
        <v>0</v>
      </c>
      <c r="K67" s="125"/>
      <c r="L67" s="130"/>
      <c r="M67" s="130"/>
      <c r="N67" s="130"/>
      <c r="O67" s="130"/>
      <c r="P67" s="118">
        <f t="shared" si="10"/>
        <v>0</v>
      </c>
      <c r="Q67" s="130">
        <f t="shared" si="13"/>
        <v>0</v>
      </c>
      <c r="R67" s="167">
        <f t="shared" si="12"/>
        <v>0</v>
      </c>
      <c r="S67" s="131"/>
      <c r="T67" s="168"/>
    </row>
    <row r="68" spans="1:20" s="132" customFormat="1" ht="15">
      <c r="A68" s="128"/>
      <c r="B68" s="192"/>
      <c r="C68" s="166"/>
      <c r="D68" s="166"/>
      <c r="E68" s="165"/>
      <c r="F68" s="166">
        <f>март!G29</f>
        <v>0</v>
      </c>
      <c r="G68" s="166"/>
      <c r="H68" s="118"/>
      <c r="I68" s="124"/>
      <c r="J68" s="130"/>
      <c r="K68" s="125"/>
      <c r="L68" s="130">
        <f>сентябрь!G21</f>
        <v>0</v>
      </c>
      <c r="M68" s="130"/>
      <c r="N68" s="130"/>
      <c r="O68" s="130"/>
      <c r="P68" s="118">
        <f t="shared" si="10"/>
        <v>0</v>
      </c>
      <c r="Q68" s="130">
        <f t="shared" si="13"/>
        <v>0</v>
      </c>
      <c r="R68" s="167">
        <f t="shared" si="12"/>
        <v>0</v>
      </c>
      <c r="S68" s="131"/>
      <c r="T68" s="168"/>
    </row>
    <row r="69" spans="1:20" s="132" customFormat="1" ht="15">
      <c r="A69" s="128"/>
      <c r="B69" s="192"/>
      <c r="C69" s="166"/>
      <c r="D69" s="166"/>
      <c r="E69" s="165"/>
      <c r="F69" s="166">
        <f>март!G30</f>
        <v>0</v>
      </c>
      <c r="G69" s="166"/>
      <c r="H69" s="118"/>
      <c r="I69" s="124"/>
      <c r="J69" s="130"/>
      <c r="K69" s="130"/>
      <c r="L69" s="130"/>
      <c r="M69" s="130"/>
      <c r="N69" s="130"/>
      <c r="O69" s="130"/>
      <c r="P69" s="118">
        <f t="shared" si="10"/>
        <v>0</v>
      </c>
      <c r="Q69" s="130">
        <f t="shared" si="13"/>
        <v>0</v>
      </c>
      <c r="R69" s="167">
        <f t="shared" si="12"/>
        <v>0</v>
      </c>
      <c r="S69" s="131"/>
      <c r="T69" s="168"/>
    </row>
    <row r="70" spans="1:20" s="132" customFormat="1" ht="15">
      <c r="A70" s="128"/>
      <c r="B70" s="192"/>
      <c r="C70" s="166"/>
      <c r="D70" s="166"/>
      <c r="E70" s="166"/>
      <c r="F70" s="166"/>
      <c r="G70" s="166"/>
      <c r="H70" s="118"/>
      <c r="I70" s="124"/>
      <c r="J70" s="130"/>
      <c r="K70" s="130"/>
      <c r="L70" s="130"/>
      <c r="M70" s="130"/>
      <c r="N70" s="130"/>
      <c r="O70" s="130">
        <f>декабрь!G22</f>
        <v>0</v>
      </c>
      <c r="P70" s="118">
        <f t="shared" si="10"/>
        <v>0</v>
      </c>
      <c r="Q70" s="130">
        <f t="shared" si="13"/>
        <v>0</v>
      </c>
      <c r="R70" s="167">
        <f t="shared" si="12"/>
        <v>0</v>
      </c>
      <c r="S70" s="131"/>
      <c r="T70" s="168"/>
    </row>
    <row r="71" spans="1:20" s="132" customFormat="1" ht="15">
      <c r="A71" s="128"/>
      <c r="B71" s="192"/>
      <c r="C71" s="166"/>
      <c r="D71" s="166"/>
      <c r="E71" s="166"/>
      <c r="F71" s="166"/>
      <c r="G71" s="166"/>
      <c r="H71" s="118"/>
      <c r="I71" s="124"/>
      <c r="J71" s="130"/>
      <c r="K71" s="130"/>
      <c r="L71" s="130"/>
      <c r="M71" s="130"/>
      <c r="N71" s="130"/>
      <c r="O71" s="130">
        <f>декабрь!G23</f>
        <v>0</v>
      </c>
      <c r="P71" s="118">
        <f t="shared" si="10"/>
        <v>0</v>
      </c>
      <c r="Q71" s="130">
        <f>P71</f>
        <v>0</v>
      </c>
      <c r="R71" s="167">
        <f t="shared" si="12"/>
        <v>0</v>
      </c>
      <c r="S71" s="131"/>
      <c r="T71" s="168"/>
    </row>
    <row r="72" spans="1:20" s="114" customFormat="1" ht="14.25">
      <c r="A72" s="110">
        <v>2</v>
      </c>
      <c r="B72" s="152" t="s">
        <v>140</v>
      </c>
      <c r="C72" s="112">
        <f>C73+C74+C75+C76+C77</f>
        <v>0</v>
      </c>
      <c r="D72" s="112">
        <f aca="true" t="shared" si="14" ref="D72:Q72">D73+D74+D75+D76+D77</f>
        <v>0</v>
      </c>
      <c r="E72" s="112">
        <f t="shared" si="14"/>
        <v>0</v>
      </c>
      <c r="F72" s="112">
        <f t="shared" si="14"/>
        <v>0</v>
      </c>
      <c r="G72" s="112">
        <f t="shared" si="14"/>
        <v>0</v>
      </c>
      <c r="H72" s="112">
        <f t="shared" si="14"/>
        <v>0</v>
      </c>
      <c r="I72" s="112">
        <f t="shared" si="14"/>
        <v>79334.56999999999</v>
      </c>
      <c r="J72" s="112">
        <f t="shared" si="14"/>
        <v>57188.95</v>
      </c>
      <c r="K72" s="112">
        <f t="shared" si="14"/>
        <v>55839.29000000001</v>
      </c>
      <c r="L72" s="112">
        <f t="shared" si="14"/>
        <v>52771.36</v>
      </c>
      <c r="M72" s="112">
        <f t="shared" si="14"/>
        <v>58490.67</v>
      </c>
      <c r="N72" s="112">
        <f t="shared" si="14"/>
        <v>67527.57</v>
      </c>
      <c r="O72" s="112">
        <f t="shared" si="14"/>
        <v>55636.689999999995</v>
      </c>
      <c r="P72" s="112">
        <f t="shared" si="10"/>
        <v>426789.1</v>
      </c>
      <c r="Q72" s="112">
        <f t="shared" si="14"/>
        <v>374879.31</v>
      </c>
      <c r="R72" s="160">
        <f t="shared" si="12"/>
        <v>51909.78999999998</v>
      </c>
      <c r="S72" s="113"/>
      <c r="T72" s="114" t="e">
        <f>#REF!/3</f>
        <v>#REF!</v>
      </c>
    </row>
    <row r="73" spans="1:20" ht="30">
      <c r="A73" s="122"/>
      <c r="B73" s="151" t="s">
        <v>132</v>
      </c>
      <c r="C73" s="124"/>
      <c r="D73" s="124">
        <f>январь!E32+январь!E33</f>
        <v>0</v>
      </c>
      <c r="E73" s="124">
        <f>февраль!E32+февраль!E33</f>
        <v>0</v>
      </c>
      <c r="F73" s="124">
        <f>март!E32+март!E33</f>
        <v>0</v>
      </c>
      <c r="G73" s="124">
        <f>апрель!E32+апрель!E33</f>
        <v>0</v>
      </c>
      <c r="H73" s="124">
        <f>май!E32+май!E33</f>
        <v>0</v>
      </c>
      <c r="I73" s="124">
        <f>июнь!E32+июнь!E33</f>
        <v>53413.81</v>
      </c>
      <c r="J73" s="124">
        <f>июль!E32+июль!E33</f>
        <v>48144.95</v>
      </c>
      <c r="K73" s="153">
        <f>август!E32+август!E33</f>
        <v>46902.350000000006</v>
      </c>
      <c r="L73" s="153">
        <f>сентябрь!E32+сентябрь!E33</f>
        <v>45480.41</v>
      </c>
      <c r="M73" s="153">
        <f>октябрь!E32+октябрь!E33</f>
        <v>48861.72</v>
      </c>
      <c r="N73" s="153">
        <f>ноябрь!E32+ноябрь!E33</f>
        <v>50495.810000000005</v>
      </c>
      <c r="O73" s="153">
        <f>декабрь!E32+декабрь!E33</f>
        <v>51909.78999999999</v>
      </c>
      <c r="P73" s="124">
        <f>SUM(D73:O73)</f>
        <v>345208.83999999997</v>
      </c>
      <c r="Q73" s="125">
        <f>P73-O73</f>
        <v>293299.05</v>
      </c>
      <c r="R73" s="154">
        <f t="shared" si="12"/>
        <v>51909.78999999998</v>
      </c>
      <c r="T73" s="114"/>
    </row>
    <row r="74" spans="1:18" ht="15">
      <c r="A74" s="122"/>
      <c r="B74" s="155" t="s">
        <v>128</v>
      </c>
      <c r="C74" s="158"/>
      <c r="D74" s="165">
        <f>январь!F39-Свод!D75</f>
        <v>0</v>
      </c>
      <c r="E74" s="165">
        <f>февраль!F39-Свод!E75</f>
        <v>0</v>
      </c>
      <c r="F74" s="165">
        <f>март!F39-Свод!F75</f>
        <v>0</v>
      </c>
      <c r="G74" s="183">
        <f>апрель!F39-Свод!G75</f>
        <v>0</v>
      </c>
      <c r="H74" s="124">
        <f>май!F39-Свод!H75</f>
        <v>0</v>
      </c>
      <c r="I74" s="124">
        <f>июнь!F39-Свод!I75</f>
        <v>17150.86</v>
      </c>
      <c r="J74" s="125">
        <f>июль!F39-Свод!J75</f>
        <v>9044</v>
      </c>
      <c r="K74" s="125">
        <f>август!F39-Свод!K75</f>
        <v>4552</v>
      </c>
      <c r="L74" s="125">
        <f>сентябрь!F39-Свод!L75</f>
        <v>2868</v>
      </c>
      <c r="M74" s="125">
        <f>октябрь!F39-Свод!M75</f>
        <v>5244</v>
      </c>
      <c r="N74" s="125">
        <f>ноябрь!F39-Свод!N75</f>
        <v>12606.8</v>
      </c>
      <c r="O74" s="125">
        <f>декабрь!F39-Свод!O75</f>
        <v>3726.9</v>
      </c>
      <c r="P74" s="124">
        <f>SUM(D74:O74)</f>
        <v>55192.560000000005</v>
      </c>
      <c r="Q74" s="125">
        <f>P74</f>
        <v>55192.560000000005</v>
      </c>
      <c r="R74" s="154">
        <f t="shared" si="12"/>
        <v>0</v>
      </c>
    </row>
    <row r="75" spans="1:18" ht="15" customHeight="1">
      <c r="A75" s="122"/>
      <c r="B75" s="155" t="s">
        <v>129</v>
      </c>
      <c r="C75" s="158"/>
      <c r="D75" s="165">
        <f>январь!F34</f>
        <v>0</v>
      </c>
      <c r="E75" s="165">
        <f>февраль!F30</f>
        <v>0</v>
      </c>
      <c r="F75" s="165">
        <f>март!G34</f>
        <v>0</v>
      </c>
      <c r="G75" s="183">
        <f>апрель!G29</f>
        <v>0</v>
      </c>
      <c r="H75" s="124">
        <f>май!G34</f>
        <v>0</v>
      </c>
      <c r="I75" s="124">
        <f>июнь!G29</f>
        <v>0</v>
      </c>
      <c r="J75" s="125">
        <f>июль!G29</f>
        <v>0</v>
      </c>
      <c r="K75" s="125">
        <f>август!G29</f>
        <v>0</v>
      </c>
      <c r="L75" s="125">
        <f>сентябрь!F34</f>
        <v>38</v>
      </c>
      <c r="M75" s="125">
        <f>октябрь!G29</f>
        <v>0</v>
      </c>
      <c r="N75" s="125">
        <f>ноябрь!F34</f>
        <v>40</v>
      </c>
      <c r="O75" s="189">
        <f>декабрь!G30</f>
        <v>0</v>
      </c>
      <c r="P75" s="124">
        <f>SUM(D75:O75)</f>
        <v>78</v>
      </c>
      <c r="Q75" s="125">
        <f>P75</f>
        <v>78</v>
      </c>
      <c r="R75" s="154">
        <f t="shared" si="12"/>
        <v>0</v>
      </c>
    </row>
    <row r="76" spans="1:18" ht="15">
      <c r="A76" s="122"/>
      <c r="B76" s="155" t="s">
        <v>136</v>
      </c>
      <c r="C76" s="158"/>
      <c r="D76" s="165">
        <f>январь!G35</f>
        <v>0</v>
      </c>
      <c r="E76" s="165">
        <f>февраль!F35</f>
        <v>0</v>
      </c>
      <c r="F76" s="165">
        <f>март!G35</f>
        <v>0</v>
      </c>
      <c r="G76" s="183">
        <f>апрель!G35</f>
        <v>0</v>
      </c>
      <c r="H76" s="124">
        <f>май!G35</f>
        <v>0</v>
      </c>
      <c r="I76" s="124">
        <f>июнь!G35</f>
        <v>8769.9</v>
      </c>
      <c r="J76" s="125">
        <f>июль!G30</f>
        <v>0</v>
      </c>
      <c r="K76" s="125">
        <f>август!G35</f>
        <v>4384.94</v>
      </c>
      <c r="L76" s="125">
        <f>сентябрь!G35</f>
        <v>4384.95</v>
      </c>
      <c r="M76" s="125">
        <f>октябрь!G35</f>
        <v>4384.95</v>
      </c>
      <c r="N76" s="125">
        <f>ноябрь!G35</f>
        <v>4384.96</v>
      </c>
      <c r="O76" s="189">
        <f>декабрь!G30</f>
        <v>0</v>
      </c>
      <c r="P76" s="124">
        <f>SUM(D76:O76)</f>
        <v>26309.7</v>
      </c>
      <c r="Q76" s="125">
        <f>P76</f>
        <v>26309.7</v>
      </c>
      <c r="R76" s="154">
        <f t="shared" si="12"/>
        <v>0</v>
      </c>
    </row>
    <row r="77" spans="1:18" ht="15">
      <c r="A77" s="122"/>
      <c r="B77" s="157" t="s">
        <v>48</v>
      </c>
      <c r="C77" s="124">
        <f>C78+C79+C80</f>
        <v>0</v>
      </c>
      <c r="D77" s="124">
        <f aca="true" t="shared" si="15" ref="D77:Q77">D78+D79+D80</f>
        <v>0</v>
      </c>
      <c r="E77" s="124">
        <f t="shared" si="15"/>
        <v>0</v>
      </c>
      <c r="F77" s="124">
        <f t="shared" si="15"/>
        <v>0</v>
      </c>
      <c r="G77" s="124">
        <f t="shared" si="15"/>
        <v>0</v>
      </c>
      <c r="H77" s="124">
        <f t="shared" si="15"/>
        <v>0</v>
      </c>
      <c r="I77" s="124">
        <f t="shared" si="15"/>
        <v>0</v>
      </c>
      <c r="J77" s="124">
        <f t="shared" si="15"/>
        <v>0</v>
      </c>
      <c r="K77" s="124">
        <f t="shared" si="15"/>
        <v>0</v>
      </c>
      <c r="L77" s="124">
        <f t="shared" si="15"/>
        <v>0</v>
      </c>
      <c r="M77" s="124">
        <f t="shared" si="15"/>
        <v>0</v>
      </c>
      <c r="N77" s="124">
        <f t="shared" si="15"/>
        <v>0</v>
      </c>
      <c r="O77" s="124">
        <f t="shared" si="15"/>
        <v>0</v>
      </c>
      <c r="P77" s="124">
        <f>SUM(D77:O77)</f>
        <v>0</v>
      </c>
      <c r="Q77" s="124">
        <f t="shared" si="15"/>
        <v>0</v>
      </c>
      <c r="R77" s="154">
        <f t="shared" si="12"/>
        <v>0</v>
      </c>
    </row>
    <row r="78" spans="1:19" s="132" customFormat="1" ht="15">
      <c r="A78" s="128"/>
      <c r="B78" s="129"/>
      <c r="C78" s="118"/>
      <c r="D78" s="165">
        <f>январь!G37</f>
        <v>0</v>
      </c>
      <c r="E78" s="165">
        <f>февраль!F37</f>
        <v>0</v>
      </c>
      <c r="F78" s="165">
        <f>март!G37</f>
        <v>0</v>
      </c>
      <c r="G78" s="183">
        <f>апрель!G37</f>
        <v>0</v>
      </c>
      <c r="H78" s="118">
        <f>май!G37</f>
        <v>0</v>
      </c>
      <c r="I78" s="118">
        <f>июнь!G37</f>
        <v>0</v>
      </c>
      <c r="J78" s="130">
        <f>июль!G37</f>
        <v>0</v>
      </c>
      <c r="K78" s="130">
        <f>август!G37</f>
        <v>0</v>
      </c>
      <c r="L78" s="130">
        <f>сентябрь!G37</f>
        <v>0</v>
      </c>
      <c r="M78" s="130">
        <f>октябрь!G37</f>
        <v>0</v>
      </c>
      <c r="N78" s="130">
        <f>ноябрь!G37</f>
        <v>0</v>
      </c>
      <c r="O78" s="118">
        <f>декабрь!G37</f>
        <v>0</v>
      </c>
      <c r="P78" s="118">
        <f aca="true" t="shared" si="16" ref="P78:P85">SUM(D78:O78)</f>
        <v>0</v>
      </c>
      <c r="Q78" s="118"/>
      <c r="R78" s="154">
        <f t="shared" si="12"/>
        <v>0</v>
      </c>
      <c r="S78" s="131"/>
    </row>
    <row r="79" spans="1:19" s="132" customFormat="1" ht="15">
      <c r="A79" s="128"/>
      <c r="B79" s="129"/>
      <c r="C79" s="118"/>
      <c r="D79" s="165">
        <f>январь!G38</f>
        <v>0</v>
      </c>
      <c r="E79" s="165">
        <f>февраль!F38</f>
        <v>0</v>
      </c>
      <c r="F79" s="165">
        <f>март!G38</f>
        <v>0</v>
      </c>
      <c r="G79" s="183">
        <f>апрель!G38</f>
        <v>0</v>
      </c>
      <c r="H79" s="118">
        <f>май!G38</f>
        <v>0</v>
      </c>
      <c r="I79" s="118">
        <f>июнь!G38</f>
        <v>0</v>
      </c>
      <c r="J79" s="130">
        <f>июль!G38</f>
        <v>0</v>
      </c>
      <c r="K79" s="130">
        <f>август!G38</f>
        <v>0</v>
      </c>
      <c r="L79" s="130">
        <f>сентябрь!G38</f>
        <v>0</v>
      </c>
      <c r="M79" s="130">
        <f>октябрь!G38</f>
        <v>0</v>
      </c>
      <c r="N79" s="130">
        <f>ноябрь!G38</f>
        <v>0</v>
      </c>
      <c r="O79" s="118">
        <f>декабрь!G38</f>
        <v>0</v>
      </c>
      <c r="P79" s="118">
        <f t="shared" si="16"/>
        <v>0</v>
      </c>
      <c r="Q79" s="118"/>
      <c r="R79" s="154">
        <f t="shared" si="12"/>
        <v>0</v>
      </c>
      <c r="S79" s="131"/>
    </row>
    <row r="80" spans="1:19" s="132" customFormat="1" ht="15">
      <c r="A80" s="128"/>
      <c r="B80" s="129"/>
      <c r="C80" s="128"/>
      <c r="D80" s="128"/>
      <c r="E80" s="128"/>
      <c r="F80" s="165"/>
      <c r="G80" s="184"/>
      <c r="H80" s="118"/>
      <c r="I80" s="118"/>
      <c r="J80" s="130"/>
      <c r="K80" s="130"/>
      <c r="L80" s="130"/>
      <c r="M80" s="130"/>
      <c r="N80" s="130">
        <v>0</v>
      </c>
      <c r="O80" s="118">
        <v>0</v>
      </c>
      <c r="P80" s="118">
        <f t="shared" si="16"/>
        <v>0</v>
      </c>
      <c r="Q80" s="118"/>
      <c r="R80" s="154">
        <f t="shared" si="12"/>
        <v>0</v>
      </c>
      <c r="S80" s="131"/>
    </row>
    <row r="81" spans="1:26" s="114" customFormat="1" ht="14.25">
      <c r="A81" s="110">
        <v>3</v>
      </c>
      <c r="B81" s="163" t="s">
        <v>139</v>
      </c>
      <c r="C81" s="169"/>
      <c r="D81" s="169">
        <f aca="true" t="shared" si="17" ref="D81:Q81">D82+D83+D84+D85</f>
        <v>0</v>
      </c>
      <c r="E81" s="169">
        <f t="shared" si="17"/>
        <v>0</v>
      </c>
      <c r="F81" s="169">
        <f t="shared" si="17"/>
        <v>0</v>
      </c>
      <c r="G81" s="169">
        <f t="shared" si="17"/>
        <v>0</v>
      </c>
      <c r="H81" s="169">
        <f t="shared" si="17"/>
        <v>0</v>
      </c>
      <c r="I81" s="169">
        <f t="shared" si="17"/>
        <v>7817.07</v>
      </c>
      <c r="J81" s="169">
        <f t="shared" si="17"/>
        <v>4789.06</v>
      </c>
      <c r="K81" s="169">
        <f t="shared" si="17"/>
        <v>30533.86</v>
      </c>
      <c r="L81" s="169">
        <f t="shared" si="17"/>
        <v>4524.51</v>
      </c>
      <c r="M81" s="169">
        <f t="shared" si="17"/>
        <v>78897.11</v>
      </c>
      <c r="N81" s="169">
        <f t="shared" si="17"/>
        <v>14147.630000000001</v>
      </c>
      <c r="O81" s="169">
        <f t="shared" si="17"/>
        <v>22241.54</v>
      </c>
      <c r="P81" s="112">
        <f t="shared" si="16"/>
        <v>162950.78000000003</v>
      </c>
      <c r="Q81" s="169">
        <f t="shared" si="17"/>
        <v>157657.44</v>
      </c>
      <c r="R81" s="160">
        <f t="shared" si="12"/>
        <v>5293.340000000026</v>
      </c>
      <c r="S81" s="113"/>
      <c r="X81" s="113" t="e">
        <f>#REF!+#REF!</f>
        <v>#REF!</v>
      </c>
      <c r="Z81" s="113">
        <v>1365644.8953411141</v>
      </c>
    </row>
    <row r="82" spans="1:18" ht="15" customHeight="1">
      <c r="A82" s="122"/>
      <c r="B82" s="151" t="s">
        <v>132</v>
      </c>
      <c r="C82" s="124"/>
      <c r="D82" s="169">
        <f>январь!E43</f>
        <v>0</v>
      </c>
      <c r="E82" s="169">
        <f>февраль!E43</f>
        <v>0</v>
      </c>
      <c r="F82" s="124">
        <f>март!E43</f>
        <v>0</v>
      </c>
      <c r="G82" s="124">
        <f>апрель!E43</f>
        <v>0</v>
      </c>
      <c r="H82" s="124">
        <f>май!E43</f>
        <v>0</v>
      </c>
      <c r="I82" s="124">
        <f>июнь!E43</f>
        <v>5094.1</v>
      </c>
      <c r="J82" s="124">
        <f>июль!E43</f>
        <v>4789.06</v>
      </c>
      <c r="K82" s="124">
        <f>август!E43</f>
        <v>3848.86</v>
      </c>
      <c r="L82" s="124">
        <f>сентябрь!E43</f>
        <v>4524.51</v>
      </c>
      <c r="M82" s="124">
        <f>октябрь!E43</f>
        <v>4497.11</v>
      </c>
      <c r="N82" s="124">
        <f>ноябрь!E43</f>
        <v>3980.03</v>
      </c>
      <c r="O82" s="124">
        <f>декабрь!E43</f>
        <v>5293.34</v>
      </c>
      <c r="P82" s="124">
        <f t="shared" si="16"/>
        <v>32027.01</v>
      </c>
      <c r="Q82" s="125">
        <f>P82-O82</f>
        <v>26733.67</v>
      </c>
      <c r="R82" s="154">
        <f t="shared" si="12"/>
        <v>5293.34</v>
      </c>
    </row>
    <row r="83" spans="1:26" ht="15">
      <c r="A83" s="122"/>
      <c r="B83" s="155" t="s">
        <v>128</v>
      </c>
      <c r="C83" s="124"/>
      <c r="D83" s="169">
        <f>январь!E44</f>
        <v>0</v>
      </c>
      <c r="E83" s="169">
        <f>февраль!E44</f>
        <v>0</v>
      </c>
      <c r="F83" s="124">
        <f>март!F43</f>
        <v>0</v>
      </c>
      <c r="G83" s="124">
        <f>апрель!E44</f>
        <v>0</v>
      </c>
      <c r="H83" s="124">
        <f>май!F48-Свод!H84</f>
        <v>0</v>
      </c>
      <c r="I83" s="124">
        <f>июнь!F48-Свод!I84</f>
        <v>2722.97</v>
      </c>
      <c r="J83" s="124">
        <f>июль!F38</f>
        <v>0</v>
      </c>
      <c r="K83" s="125">
        <f>август!F49-Свод!K84</f>
        <v>185</v>
      </c>
      <c r="L83" s="125">
        <f>сентябрь!F43-Свод!L84</f>
        <v>0</v>
      </c>
      <c r="M83" s="125">
        <f>октябрь!F43-Свод!M84</f>
        <v>300</v>
      </c>
      <c r="N83" s="125">
        <f>ноябрь!F43-Свод!N84</f>
        <v>10167.6</v>
      </c>
      <c r="O83" s="125">
        <f>декабрь!F43-Свод!O84</f>
        <v>4648.2</v>
      </c>
      <c r="P83" s="124">
        <f t="shared" si="16"/>
        <v>18023.77</v>
      </c>
      <c r="Q83" s="125">
        <f>P83</f>
        <v>18023.77</v>
      </c>
      <c r="R83" s="154">
        <f t="shared" si="12"/>
        <v>0</v>
      </c>
      <c r="Z83" s="126" t="e">
        <f>Z81-X81</f>
        <v>#REF!</v>
      </c>
    </row>
    <row r="84" spans="1:21" ht="15">
      <c r="A84" s="122"/>
      <c r="B84" s="155" t="s">
        <v>129</v>
      </c>
      <c r="C84" s="124"/>
      <c r="D84" s="169">
        <f>январь!E44</f>
        <v>0</v>
      </c>
      <c r="E84" s="169">
        <f>февраль!E45</f>
        <v>0</v>
      </c>
      <c r="F84" s="124">
        <f>март!E45</f>
        <v>0</v>
      </c>
      <c r="G84" s="124">
        <f>апрель!E45</f>
        <v>0</v>
      </c>
      <c r="H84" s="124">
        <f>май!G45</f>
        <v>0</v>
      </c>
      <c r="I84" s="124">
        <f>июнь!G45</f>
        <v>0</v>
      </c>
      <c r="J84" s="125">
        <f>июль!G45</f>
        <v>0</v>
      </c>
      <c r="K84" s="125">
        <f>август!G45</f>
        <v>0</v>
      </c>
      <c r="L84" s="125">
        <f>сентябрь!G45</f>
        <v>0</v>
      </c>
      <c r="M84" s="125">
        <f>октябрь!G45</f>
        <v>0</v>
      </c>
      <c r="N84" s="125">
        <f>ноябрь!G45</f>
        <v>0</v>
      </c>
      <c r="O84" s="124">
        <f>декабрь!E45</f>
        <v>0</v>
      </c>
      <c r="P84" s="124">
        <f t="shared" si="16"/>
        <v>0</v>
      </c>
      <c r="Q84" s="125">
        <f>P84</f>
        <v>0</v>
      </c>
      <c r="R84" s="154">
        <f t="shared" si="12"/>
        <v>0</v>
      </c>
      <c r="U84" s="133"/>
    </row>
    <row r="85" spans="1:18" ht="15">
      <c r="A85" s="122"/>
      <c r="B85" s="157" t="s">
        <v>48</v>
      </c>
      <c r="C85" s="124"/>
      <c r="D85" s="124">
        <f aca="true" t="shared" si="18" ref="D85:N85">D86+D87</f>
        <v>0</v>
      </c>
      <c r="E85" s="124">
        <f t="shared" si="18"/>
        <v>0</v>
      </c>
      <c r="F85" s="124">
        <f t="shared" si="18"/>
        <v>0</v>
      </c>
      <c r="G85" s="124">
        <f>апрель!E46</f>
        <v>0</v>
      </c>
      <c r="H85" s="124">
        <f t="shared" si="18"/>
        <v>0</v>
      </c>
      <c r="I85" s="124">
        <f t="shared" si="18"/>
        <v>0</v>
      </c>
      <c r="J85" s="124">
        <f t="shared" si="18"/>
        <v>0</v>
      </c>
      <c r="K85" s="124">
        <f>K86+K87+K88+K89+K90</f>
        <v>26500</v>
      </c>
      <c r="L85" s="124">
        <f>L86+L87+L88</f>
        <v>0</v>
      </c>
      <c r="M85" s="124">
        <f>M86+M87+M88</f>
        <v>74100</v>
      </c>
      <c r="N85" s="124">
        <f t="shared" si="18"/>
        <v>0</v>
      </c>
      <c r="O85" s="124">
        <f>декабрь!E46</f>
        <v>12300</v>
      </c>
      <c r="P85" s="124">
        <f t="shared" si="16"/>
        <v>112900</v>
      </c>
      <c r="Q85" s="124">
        <f>Q86+Q87+Q88+Q89+Q90</f>
        <v>112900</v>
      </c>
      <c r="R85" s="154">
        <f t="shared" si="12"/>
        <v>0</v>
      </c>
    </row>
    <row r="86" spans="1:19" s="133" customFormat="1" ht="15">
      <c r="A86" s="134"/>
      <c r="B86" s="135"/>
      <c r="C86" s="44"/>
      <c r="D86" s="44">
        <f>январь!E46</f>
        <v>0</v>
      </c>
      <c r="E86" s="44">
        <f>февраль!E46</f>
        <v>0</v>
      </c>
      <c r="F86" s="118">
        <f>март!G41</f>
        <v>0</v>
      </c>
      <c r="G86" s="118">
        <f>апрель!G41</f>
        <v>0</v>
      </c>
      <c r="H86" s="118">
        <f>май!G41</f>
        <v>0</v>
      </c>
      <c r="I86" s="118"/>
      <c r="J86" s="130">
        <f>июль!G41</f>
        <v>0</v>
      </c>
      <c r="K86" s="130"/>
      <c r="L86" s="130">
        <f>сентябрь!G41</f>
        <v>0</v>
      </c>
      <c r="M86" s="125"/>
      <c r="N86" s="130">
        <f>ноябрь!G46</f>
        <v>0</v>
      </c>
      <c r="O86" s="124">
        <f>декабрь!E47</f>
        <v>0</v>
      </c>
      <c r="P86" s="118">
        <f aca="true" t="shared" si="19" ref="P86:P95">SUM(D86:O86)</f>
        <v>0</v>
      </c>
      <c r="Q86" s="130">
        <f>P86</f>
        <v>0</v>
      </c>
      <c r="R86" s="154">
        <f t="shared" si="12"/>
        <v>0</v>
      </c>
      <c r="S86" s="126"/>
    </row>
    <row r="87" spans="1:19" s="202" customFormat="1" ht="15">
      <c r="A87" s="201"/>
      <c r="B87" s="129" t="s">
        <v>208</v>
      </c>
      <c r="C87" s="118"/>
      <c r="D87" s="118"/>
      <c r="E87" s="118"/>
      <c r="F87" s="118"/>
      <c r="G87" s="118"/>
      <c r="H87" s="118"/>
      <c r="I87" s="118"/>
      <c r="J87" s="130"/>
      <c r="K87" s="130"/>
      <c r="L87" s="130"/>
      <c r="M87" s="130">
        <f>октябрь!G46</f>
        <v>74100</v>
      </c>
      <c r="N87" s="130">
        <f>октябрь!H46</f>
        <v>0</v>
      </c>
      <c r="O87" s="118">
        <f>декабрь!E46</f>
        <v>12300</v>
      </c>
      <c r="P87" s="118">
        <f t="shared" si="19"/>
        <v>86400</v>
      </c>
      <c r="Q87" s="130">
        <f>P87</f>
        <v>86400</v>
      </c>
      <c r="R87" s="167">
        <f t="shared" si="12"/>
        <v>0</v>
      </c>
      <c r="S87" s="131"/>
    </row>
    <row r="88" spans="1:19" s="202" customFormat="1" ht="15">
      <c r="A88" s="201"/>
      <c r="B88" s="200" t="s">
        <v>167</v>
      </c>
      <c r="C88" s="118"/>
      <c r="D88" s="118"/>
      <c r="E88" s="118"/>
      <c r="F88" s="118"/>
      <c r="G88" s="118"/>
      <c r="H88" s="118"/>
      <c r="I88" s="118"/>
      <c r="J88" s="130"/>
      <c r="K88" s="130">
        <f>август!G46</f>
        <v>3000</v>
      </c>
      <c r="L88" s="130"/>
      <c r="M88" s="130">
        <f>октябрь!G41</f>
        <v>0</v>
      </c>
      <c r="N88" s="130"/>
      <c r="O88" s="118">
        <f>декабрь!E49</f>
        <v>0</v>
      </c>
      <c r="P88" s="118">
        <f t="shared" si="19"/>
        <v>3000</v>
      </c>
      <c r="Q88" s="130">
        <f>P88</f>
        <v>3000</v>
      </c>
      <c r="R88" s="167">
        <f t="shared" si="12"/>
        <v>0</v>
      </c>
      <c r="S88" s="131"/>
    </row>
    <row r="89" spans="1:19" s="202" customFormat="1" ht="15">
      <c r="A89" s="201"/>
      <c r="B89" s="200" t="s">
        <v>214</v>
      </c>
      <c r="C89" s="118"/>
      <c r="D89" s="118"/>
      <c r="E89" s="118"/>
      <c r="F89" s="118"/>
      <c r="G89" s="118"/>
      <c r="H89" s="118"/>
      <c r="I89" s="118"/>
      <c r="J89" s="130"/>
      <c r="K89" s="130">
        <f>август!G47</f>
        <v>21000</v>
      </c>
      <c r="L89" s="130"/>
      <c r="M89" s="130"/>
      <c r="N89" s="130"/>
      <c r="O89" s="130"/>
      <c r="P89" s="118">
        <f t="shared" si="19"/>
        <v>21000</v>
      </c>
      <c r="Q89" s="130">
        <f>P89</f>
        <v>21000</v>
      </c>
      <c r="R89" s="167">
        <f t="shared" si="12"/>
        <v>0</v>
      </c>
      <c r="S89" s="131"/>
    </row>
    <row r="90" spans="1:19" s="202" customFormat="1" ht="15">
      <c r="A90" s="201"/>
      <c r="B90" s="200" t="s">
        <v>215</v>
      </c>
      <c r="C90" s="118"/>
      <c r="D90" s="118"/>
      <c r="E90" s="118"/>
      <c r="F90" s="118"/>
      <c r="G90" s="118"/>
      <c r="H90" s="118"/>
      <c r="I90" s="118"/>
      <c r="J90" s="130"/>
      <c r="K90" s="130">
        <f>август!G48</f>
        <v>2500</v>
      </c>
      <c r="L90" s="130"/>
      <c r="M90" s="130"/>
      <c r="N90" s="130"/>
      <c r="O90" s="130"/>
      <c r="P90" s="118">
        <f t="shared" si="19"/>
        <v>2500</v>
      </c>
      <c r="Q90" s="130">
        <f>P90</f>
        <v>2500</v>
      </c>
      <c r="R90" s="167">
        <f t="shared" si="12"/>
        <v>0</v>
      </c>
      <c r="S90" s="131"/>
    </row>
    <row r="91" spans="1:19" s="175" customFormat="1" ht="28.5">
      <c r="A91" s="110">
        <v>4</v>
      </c>
      <c r="B91" s="172" t="s">
        <v>142</v>
      </c>
      <c r="C91" s="173"/>
      <c r="D91" s="169">
        <f>январь!E52</f>
        <v>0</v>
      </c>
      <c r="E91" s="169">
        <f>февраль!E52</f>
        <v>0</v>
      </c>
      <c r="F91" s="169">
        <f>март!E52</f>
        <v>0</v>
      </c>
      <c r="G91" s="169">
        <f>апрель!E52</f>
        <v>0</v>
      </c>
      <c r="H91" s="112">
        <f>май!E52</f>
        <v>0</v>
      </c>
      <c r="I91" s="112">
        <f>июнь!E52</f>
        <v>28574.17</v>
      </c>
      <c r="J91" s="139">
        <f>июль!E52</f>
        <v>28574.17</v>
      </c>
      <c r="K91" s="139">
        <f>август!E53</f>
        <v>28574.17</v>
      </c>
      <c r="L91" s="139">
        <f>сентябрь!E52</f>
        <v>28574.17</v>
      </c>
      <c r="M91" s="139">
        <f>октябрь!E52</f>
        <v>28574.17</v>
      </c>
      <c r="N91" s="139">
        <f>ноябрь!E52</f>
        <v>28574.17</v>
      </c>
      <c r="O91" s="139">
        <f>декабрь!E52</f>
        <v>28574.17</v>
      </c>
      <c r="P91" s="112">
        <f t="shared" si="19"/>
        <v>200019.18999999994</v>
      </c>
      <c r="Q91" s="139">
        <f>P91-O91</f>
        <v>171445.01999999996</v>
      </c>
      <c r="R91" s="160">
        <f t="shared" si="12"/>
        <v>28574.169999999984</v>
      </c>
      <c r="S91" s="174"/>
    </row>
    <row r="92" spans="1:19" s="175" customFormat="1" ht="14.25">
      <c r="A92" s="138">
        <v>5</v>
      </c>
      <c r="B92" s="163" t="s">
        <v>143</v>
      </c>
      <c r="C92" s="173"/>
      <c r="D92" s="169">
        <f>январь!E53</f>
        <v>0</v>
      </c>
      <c r="E92" s="169">
        <f>февраль!E53</f>
        <v>0</v>
      </c>
      <c r="F92" s="169">
        <f>март!E53</f>
        <v>0</v>
      </c>
      <c r="G92" s="169">
        <f>апрель!E53</f>
        <v>0</v>
      </c>
      <c r="H92" s="112">
        <f>май!E53</f>
        <v>0</v>
      </c>
      <c r="I92" s="112">
        <f>июнь!E53</f>
        <v>5026.24</v>
      </c>
      <c r="J92" s="139">
        <f>июль!E53</f>
        <v>5026.24</v>
      </c>
      <c r="K92" s="139">
        <f>август!E54</f>
        <v>5026.24</v>
      </c>
      <c r="L92" s="139">
        <f>сентябрь!E53</f>
        <v>5026.24</v>
      </c>
      <c r="M92" s="139">
        <f>октябрь!E53</f>
        <v>5026.24</v>
      </c>
      <c r="N92" s="139">
        <f>ноябрь!E53</f>
        <v>5026.24</v>
      </c>
      <c r="O92" s="139">
        <f>декабрь!E53</f>
        <v>5026.24</v>
      </c>
      <c r="P92" s="112">
        <f t="shared" si="19"/>
        <v>35183.67999999999</v>
      </c>
      <c r="Q92" s="139">
        <f>P92-O92</f>
        <v>30157.439999999995</v>
      </c>
      <c r="R92" s="160">
        <f t="shared" si="12"/>
        <v>5026.239999999998</v>
      </c>
      <c r="S92" s="174"/>
    </row>
    <row r="93" spans="1:19" s="175" customFormat="1" ht="14.25">
      <c r="A93" s="138">
        <v>6</v>
      </c>
      <c r="B93" s="163" t="s">
        <v>144</v>
      </c>
      <c r="C93" s="173"/>
      <c r="D93" s="169">
        <f>январь!E54</f>
        <v>0</v>
      </c>
      <c r="E93" s="169">
        <f>февраль!E54</f>
        <v>0</v>
      </c>
      <c r="F93" s="169">
        <f>март!E54</f>
        <v>0</v>
      </c>
      <c r="G93" s="169">
        <f>апрель!E54</f>
        <v>0</v>
      </c>
      <c r="H93" s="112">
        <f>май!E54</f>
        <v>0</v>
      </c>
      <c r="I93" s="112">
        <f>июнь!E54</f>
        <v>2638.78</v>
      </c>
      <c r="J93" s="139">
        <f>июль!E54</f>
        <v>2638.78</v>
      </c>
      <c r="K93" s="139">
        <f>август!E55</f>
        <v>2638.78</v>
      </c>
      <c r="L93" s="139">
        <f>сентябрь!E54</f>
        <v>2638.78</v>
      </c>
      <c r="M93" s="139">
        <f>октябрь!E54</f>
        <v>2638.78</v>
      </c>
      <c r="N93" s="139">
        <f>ноябрь!E54</f>
        <v>2638.78</v>
      </c>
      <c r="O93" s="139">
        <f>декабрь!E54</f>
        <v>2638.78</v>
      </c>
      <c r="P93" s="112">
        <f t="shared" si="19"/>
        <v>18471.460000000003</v>
      </c>
      <c r="Q93" s="139">
        <f>P93-O93</f>
        <v>15832.680000000002</v>
      </c>
      <c r="R93" s="160">
        <f t="shared" si="12"/>
        <v>2638.7800000000007</v>
      </c>
      <c r="S93" s="174"/>
    </row>
    <row r="94" spans="1:23" s="175" customFormat="1" ht="14.25">
      <c r="A94" s="138">
        <v>7</v>
      </c>
      <c r="B94" s="163" t="s">
        <v>44</v>
      </c>
      <c r="C94" s="173"/>
      <c r="D94" s="169">
        <f>январь!E55</f>
        <v>0</v>
      </c>
      <c r="E94" s="169">
        <f>февраль!E55</f>
        <v>0</v>
      </c>
      <c r="F94" s="169">
        <f>март!E55</f>
        <v>0</v>
      </c>
      <c r="G94" s="169">
        <f>апрель!E55</f>
        <v>0</v>
      </c>
      <c r="H94" s="112">
        <f>май!E55</f>
        <v>0</v>
      </c>
      <c r="I94" s="112">
        <f>июнь!E55</f>
        <v>3886.97</v>
      </c>
      <c r="J94" s="139">
        <f>июль!E55</f>
        <v>4396.55</v>
      </c>
      <c r="K94" s="139">
        <f>август!E56</f>
        <v>3916.37</v>
      </c>
      <c r="L94" s="139">
        <f>сентябрь!E55</f>
        <v>4033.54</v>
      </c>
      <c r="M94" s="139">
        <f>октябрь!E55</f>
        <v>6129.68</v>
      </c>
      <c r="N94" s="139">
        <f>ноябрь!E55</f>
        <v>5672.75</v>
      </c>
      <c r="O94" s="139">
        <f>декабрь!E55</f>
        <v>4369.43</v>
      </c>
      <c r="P94" s="112">
        <f t="shared" si="19"/>
        <v>32405.29</v>
      </c>
      <c r="Q94" s="139">
        <f>P94</f>
        <v>32405.29</v>
      </c>
      <c r="R94" s="160">
        <f t="shared" si="12"/>
        <v>0</v>
      </c>
      <c r="S94" s="174"/>
      <c r="U94" s="174"/>
      <c r="W94" s="111"/>
    </row>
    <row r="95" spans="1:23" s="175" customFormat="1" ht="14.25">
      <c r="A95" s="138">
        <v>8</v>
      </c>
      <c r="B95" s="163" t="s">
        <v>141</v>
      </c>
      <c r="C95" s="169">
        <f>C96+C97+C98+C99+C100+C101+C102+C103</f>
        <v>0</v>
      </c>
      <c r="D95" s="169">
        <f aca="true" t="shared" si="20" ref="D95:Q95">D96+D97+D98+D99+D100+D101+D102+D103</f>
        <v>0</v>
      </c>
      <c r="E95" s="169">
        <f t="shared" si="20"/>
        <v>0</v>
      </c>
      <c r="F95" s="169">
        <f t="shared" si="20"/>
        <v>0</v>
      </c>
      <c r="G95" s="169">
        <f t="shared" si="20"/>
        <v>0</v>
      </c>
      <c r="H95" s="169">
        <f t="shared" si="20"/>
        <v>0</v>
      </c>
      <c r="I95" s="169">
        <f t="shared" si="20"/>
        <v>10584.77</v>
      </c>
      <c r="J95" s="169">
        <f t="shared" si="20"/>
        <v>8587.42</v>
      </c>
      <c r="K95" s="169">
        <f t="shared" si="20"/>
        <v>10045.6</v>
      </c>
      <c r="L95" s="169">
        <f t="shared" si="20"/>
        <v>7463.37</v>
      </c>
      <c r="M95" s="169">
        <f t="shared" si="20"/>
        <v>7015.64</v>
      </c>
      <c r="N95" s="169">
        <f t="shared" si="20"/>
        <v>7783.96</v>
      </c>
      <c r="O95" s="169">
        <f t="shared" si="20"/>
        <v>8661.26</v>
      </c>
      <c r="P95" s="112">
        <f t="shared" si="19"/>
        <v>60142.020000000004</v>
      </c>
      <c r="Q95" s="169">
        <f t="shared" si="20"/>
        <v>60142.02</v>
      </c>
      <c r="R95" s="160">
        <f t="shared" si="12"/>
        <v>0</v>
      </c>
      <c r="S95" s="174"/>
      <c r="U95" s="174"/>
      <c r="W95" s="164"/>
    </row>
    <row r="96" spans="1:23" s="178" customFormat="1" ht="15">
      <c r="A96" s="136"/>
      <c r="B96" s="176" t="s">
        <v>62</v>
      </c>
      <c r="C96" s="118"/>
      <c r="D96" s="166">
        <f>январь!E57</f>
        <v>0</v>
      </c>
      <c r="E96" s="166">
        <f>февраль!E57</f>
        <v>0</v>
      </c>
      <c r="F96" s="166">
        <f>март!E57</f>
        <v>0</v>
      </c>
      <c r="G96" s="166">
        <f>апрель!E57</f>
        <v>0</v>
      </c>
      <c r="H96" s="118">
        <f>май!E57</f>
        <v>0</v>
      </c>
      <c r="I96" s="118">
        <f>июнь!E57</f>
        <v>3473.84</v>
      </c>
      <c r="J96" s="130">
        <f>июль!E57</f>
        <v>3137.03</v>
      </c>
      <c r="K96" s="130">
        <f>август!E58</f>
        <v>1653.31</v>
      </c>
      <c r="L96" s="130">
        <f>сентябрь!E57</f>
        <v>1426.49</v>
      </c>
      <c r="M96" s="130">
        <f>октябрь!E57</f>
        <v>1493.02</v>
      </c>
      <c r="N96" s="130">
        <f>ноябрь!E57</f>
        <v>1226.91</v>
      </c>
      <c r="O96" s="130">
        <f>декабрь!E57</f>
        <v>1918.1</v>
      </c>
      <c r="P96" s="118">
        <f aca="true" t="shared" si="21" ref="P96:P105">SUM(D96:O96)</f>
        <v>14328.7</v>
      </c>
      <c r="Q96" s="118">
        <f>P96</f>
        <v>14328.7</v>
      </c>
      <c r="R96" s="167">
        <f t="shared" si="12"/>
        <v>0</v>
      </c>
      <c r="S96" s="177"/>
      <c r="U96" s="177"/>
      <c r="W96" s="137"/>
    </row>
    <row r="97" spans="1:23" s="178" customFormat="1" ht="15">
      <c r="A97" s="136"/>
      <c r="B97" s="176" t="s">
        <v>145</v>
      </c>
      <c r="C97" s="118"/>
      <c r="D97" s="166">
        <f>январь!E58</f>
        <v>0</v>
      </c>
      <c r="E97" s="166">
        <f>февраль!E58</f>
        <v>0</v>
      </c>
      <c r="F97" s="166">
        <f>март!E58</f>
        <v>0</v>
      </c>
      <c r="G97" s="166">
        <f>апрель!E58</f>
        <v>0</v>
      </c>
      <c r="H97" s="118">
        <f>май!E58</f>
        <v>0</v>
      </c>
      <c r="I97" s="118">
        <f>июнь!E58</f>
        <v>961.73</v>
      </c>
      <c r="J97" s="130">
        <f>июль!E58</f>
        <v>248.39</v>
      </c>
      <c r="K97" s="130">
        <f>август!E59</f>
        <v>708.76</v>
      </c>
      <c r="L97" s="130">
        <f>сентябрь!E58</f>
        <v>809.22</v>
      </c>
      <c r="M97" s="130">
        <f>октябрь!E58</f>
        <v>1216.92</v>
      </c>
      <c r="N97" s="130">
        <f>ноябрь!E58</f>
        <v>791.22</v>
      </c>
      <c r="O97" s="130">
        <f>декабрь!E58</f>
        <v>1282.73</v>
      </c>
      <c r="P97" s="118">
        <f t="shared" si="21"/>
        <v>6018.969999999999</v>
      </c>
      <c r="Q97" s="118">
        <f aca="true" t="shared" si="22" ref="Q97:Q103">P97</f>
        <v>6018.969999999999</v>
      </c>
      <c r="R97" s="167">
        <f t="shared" si="12"/>
        <v>0</v>
      </c>
      <c r="S97" s="177"/>
      <c r="U97" s="177"/>
      <c r="W97" s="137"/>
    </row>
    <row r="98" spans="1:19" s="178" customFormat="1" ht="30">
      <c r="A98" s="136"/>
      <c r="B98" s="176" t="s">
        <v>64</v>
      </c>
      <c r="C98" s="118"/>
      <c r="D98" s="166">
        <f>январь!E59</f>
        <v>0</v>
      </c>
      <c r="E98" s="166">
        <f>февраль!E59</f>
        <v>0</v>
      </c>
      <c r="F98" s="166">
        <f>март!E59</f>
        <v>0</v>
      </c>
      <c r="G98" s="166">
        <f>апрель!E59</f>
        <v>0</v>
      </c>
      <c r="H98" s="118">
        <f>май!E59</f>
        <v>0</v>
      </c>
      <c r="I98" s="118">
        <f>июнь!E59</f>
        <v>3459.62</v>
      </c>
      <c r="J98" s="130">
        <f>июль!E59</f>
        <v>2499.24</v>
      </c>
      <c r="K98" s="130">
        <f>август!E60</f>
        <v>2989.78</v>
      </c>
      <c r="L98" s="130">
        <f>сентябрь!E59</f>
        <v>1499.28</v>
      </c>
      <c r="M98" s="130">
        <f>октябрь!E59</f>
        <v>1868.9099999999999</v>
      </c>
      <c r="N98" s="130">
        <f>ноябрь!E59</f>
        <v>2186.1</v>
      </c>
      <c r="O98" s="130">
        <f>декабрь!E59</f>
        <v>2048.74</v>
      </c>
      <c r="P98" s="118">
        <f t="shared" si="21"/>
        <v>16551.67</v>
      </c>
      <c r="Q98" s="118">
        <f t="shared" si="22"/>
        <v>16551.67</v>
      </c>
      <c r="R98" s="167">
        <f t="shared" si="12"/>
        <v>0</v>
      </c>
      <c r="S98" s="177"/>
    </row>
    <row r="99" spans="1:20" s="178" customFormat="1" ht="15">
      <c r="A99" s="136"/>
      <c r="B99" s="176" t="s">
        <v>69</v>
      </c>
      <c r="C99" s="118"/>
      <c r="D99" s="166">
        <f>январь!E60</f>
        <v>0</v>
      </c>
      <c r="E99" s="166">
        <f>февраль!E60</f>
        <v>0</v>
      </c>
      <c r="F99" s="166">
        <f>март!E60</f>
        <v>0</v>
      </c>
      <c r="G99" s="166">
        <f>апрель!E60</f>
        <v>0</v>
      </c>
      <c r="H99" s="118">
        <f>май!E60</f>
        <v>0</v>
      </c>
      <c r="I99" s="118">
        <f>июнь!E60</f>
        <v>1788.79</v>
      </c>
      <c r="J99" s="130">
        <f>июль!E60</f>
        <v>1788.79</v>
      </c>
      <c r="K99" s="130">
        <f>август!E61</f>
        <v>1992.11</v>
      </c>
      <c r="L99" s="130">
        <f>сентябрь!E60</f>
        <v>1992.11</v>
      </c>
      <c r="M99" s="130">
        <f>октябрь!E60</f>
        <v>1788.79</v>
      </c>
      <c r="N99" s="130">
        <f>ноябрь!E60</f>
        <v>1992.11</v>
      </c>
      <c r="O99" s="130">
        <f>декабрь!E60</f>
        <v>1992.11</v>
      </c>
      <c r="P99" s="118">
        <f t="shared" si="21"/>
        <v>13334.810000000001</v>
      </c>
      <c r="Q99" s="118">
        <f t="shared" si="22"/>
        <v>13334.810000000001</v>
      </c>
      <c r="R99" s="167">
        <f t="shared" si="12"/>
        <v>0</v>
      </c>
      <c r="S99" s="177"/>
      <c r="T99" s="177"/>
    </row>
    <row r="100" spans="1:19" s="178" customFormat="1" ht="15">
      <c r="A100" s="136"/>
      <c r="B100" s="176" t="s">
        <v>74</v>
      </c>
      <c r="C100" s="118"/>
      <c r="D100" s="166">
        <f>январь!E61</f>
        <v>0</v>
      </c>
      <c r="E100" s="166">
        <f>февраль!E61</f>
        <v>0</v>
      </c>
      <c r="F100" s="166">
        <f>март!E61</f>
        <v>0</v>
      </c>
      <c r="G100" s="166">
        <f>апрель!E61</f>
        <v>0</v>
      </c>
      <c r="H100" s="118">
        <f>май!E61</f>
        <v>0</v>
      </c>
      <c r="I100" s="118">
        <f>июнь!E61</f>
        <v>0</v>
      </c>
      <c r="J100" s="130">
        <f>июль!E61</f>
        <v>0</v>
      </c>
      <c r="K100" s="130">
        <f>август!E62</f>
        <v>0</v>
      </c>
      <c r="L100" s="130">
        <f>сентябрь!E61</f>
        <v>0</v>
      </c>
      <c r="M100" s="130">
        <f>октябрь!E61</f>
        <v>0</v>
      </c>
      <c r="N100" s="130">
        <f>ноябрь!E61</f>
        <v>0</v>
      </c>
      <c r="O100" s="130">
        <f>декабрь!E61</f>
        <v>0</v>
      </c>
      <c r="P100" s="118">
        <f t="shared" si="21"/>
        <v>0</v>
      </c>
      <c r="Q100" s="118">
        <f t="shared" si="22"/>
        <v>0</v>
      </c>
      <c r="R100" s="167">
        <f t="shared" si="12"/>
        <v>0</v>
      </c>
      <c r="S100" s="177"/>
    </row>
    <row r="101" spans="1:20" s="178" customFormat="1" ht="15">
      <c r="A101" s="136"/>
      <c r="B101" s="176" t="s">
        <v>72</v>
      </c>
      <c r="C101" s="118"/>
      <c r="D101" s="166">
        <f>январь!E62</f>
        <v>0</v>
      </c>
      <c r="E101" s="166">
        <f>февраль!E62</f>
        <v>0</v>
      </c>
      <c r="F101" s="166">
        <f>март!E62</f>
        <v>0</v>
      </c>
      <c r="G101" s="166">
        <f>апрель!E62</f>
        <v>0</v>
      </c>
      <c r="H101" s="118">
        <f>май!E62</f>
        <v>0</v>
      </c>
      <c r="I101" s="118">
        <f>июнь!E62</f>
        <v>854.79</v>
      </c>
      <c r="J101" s="130">
        <f>июль!E62</f>
        <v>854.79</v>
      </c>
      <c r="K101" s="130">
        <f>август!E63</f>
        <v>2576.39</v>
      </c>
      <c r="L101" s="130">
        <f>сентябрь!E62</f>
        <v>1582.59</v>
      </c>
      <c r="M101" s="130">
        <f>октябрь!E62</f>
        <v>581.19</v>
      </c>
      <c r="N101" s="130">
        <f>ноябрь!E62</f>
        <v>1518.31</v>
      </c>
      <c r="O101" s="130">
        <f>декабрь!E62</f>
        <v>1349.65</v>
      </c>
      <c r="P101" s="118">
        <f t="shared" si="21"/>
        <v>9317.71</v>
      </c>
      <c r="Q101" s="118">
        <f t="shared" si="22"/>
        <v>9317.71</v>
      </c>
      <c r="R101" s="167">
        <f t="shared" si="12"/>
        <v>0</v>
      </c>
      <c r="S101" s="177"/>
      <c r="T101" s="177"/>
    </row>
    <row r="102" spans="1:20" s="178" customFormat="1" ht="12.75" customHeight="1">
      <c r="A102" s="136"/>
      <c r="B102" s="176" t="s">
        <v>75</v>
      </c>
      <c r="C102" s="118"/>
      <c r="D102" s="166">
        <f>январь!E63</f>
        <v>0</v>
      </c>
      <c r="E102" s="166">
        <f>февраль!E63</f>
        <v>0</v>
      </c>
      <c r="F102" s="166">
        <f>март!E63</f>
        <v>0</v>
      </c>
      <c r="G102" s="166">
        <f>апрель!E63</f>
        <v>0</v>
      </c>
      <c r="H102" s="118">
        <f>май!E63</f>
        <v>0</v>
      </c>
      <c r="I102" s="118">
        <f>июнь!E63</f>
        <v>46</v>
      </c>
      <c r="J102" s="130">
        <f>июль!E63</f>
        <v>59.18</v>
      </c>
      <c r="K102" s="130">
        <f>август!E64</f>
        <v>125.25</v>
      </c>
      <c r="L102" s="130">
        <f>сентябрь!E63</f>
        <v>153.68</v>
      </c>
      <c r="M102" s="130">
        <f>октябрь!E63</f>
        <v>66.81</v>
      </c>
      <c r="N102" s="130">
        <f>ноябрь!E63</f>
        <v>69.31</v>
      </c>
      <c r="O102" s="130">
        <f>декабрь!E63</f>
        <v>69.93</v>
      </c>
      <c r="P102" s="118">
        <f t="shared" si="21"/>
        <v>590.1600000000001</v>
      </c>
      <c r="Q102" s="118">
        <f t="shared" si="22"/>
        <v>590.1600000000001</v>
      </c>
      <c r="R102" s="167">
        <f t="shared" si="12"/>
        <v>0</v>
      </c>
      <c r="S102" s="177"/>
      <c r="T102" s="177"/>
    </row>
    <row r="103" spans="1:19" s="178" customFormat="1" ht="15">
      <c r="A103" s="136"/>
      <c r="B103" s="176" t="s">
        <v>76</v>
      </c>
      <c r="C103" s="118"/>
      <c r="D103" s="166">
        <f>январь!E64</f>
        <v>0</v>
      </c>
      <c r="E103" s="166">
        <f>февраль!E64</f>
        <v>0</v>
      </c>
      <c r="F103" s="166">
        <f>март!E64</f>
        <v>0</v>
      </c>
      <c r="G103" s="166">
        <f>апрель!E64</f>
        <v>0</v>
      </c>
      <c r="H103" s="118">
        <f>май!E64</f>
        <v>0</v>
      </c>
      <c r="I103" s="118">
        <f>июнь!E64</f>
        <v>0</v>
      </c>
      <c r="J103" s="130">
        <f>июль!E64</f>
        <v>0</v>
      </c>
      <c r="K103" s="130">
        <f>август!E65</f>
        <v>0</v>
      </c>
      <c r="L103" s="130">
        <f>сентябрь!E64</f>
        <v>0</v>
      </c>
      <c r="M103" s="130">
        <f>октябрь!E64</f>
        <v>0</v>
      </c>
      <c r="N103" s="130">
        <f>ноябрь!E64</f>
        <v>0</v>
      </c>
      <c r="O103" s="130">
        <f>декабрь!E64</f>
        <v>0</v>
      </c>
      <c r="P103" s="118">
        <f t="shared" si="21"/>
        <v>0</v>
      </c>
      <c r="Q103" s="118">
        <f t="shared" si="22"/>
        <v>0</v>
      </c>
      <c r="R103" s="167">
        <f t="shared" si="12"/>
        <v>0</v>
      </c>
      <c r="S103" s="177"/>
    </row>
    <row r="104" spans="1:19" s="188" customFormat="1" ht="17.25" customHeight="1">
      <c r="A104" s="185"/>
      <c r="B104" s="179" t="s">
        <v>55</v>
      </c>
      <c r="C104" s="186"/>
      <c r="D104" s="166">
        <f>январь!E67</f>
        <v>0</v>
      </c>
      <c r="E104" s="166">
        <f>февраль!E67</f>
        <v>0</v>
      </c>
      <c r="F104" s="169">
        <f>март!E67</f>
        <v>0</v>
      </c>
      <c r="G104" s="112">
        <f>апрель!E67</f>
        <v>0</v>
      </c>
      <c r="H104" s="112">
        <f>май!E67</f>
        <v>0</v>
      </c>
      <c r="I104" s="112">
        <v>0</v>
      </c>
      <c r="J104" s="112">
        <f>июль!E67</f>
        <v>6717.13</v>
      </c>
      <c r="K104" s="112">
        <f>август!E68</f>
        <v>5946.56</v>
      </c>
      <c r="L104" s="112">
        <f>сентябрь!E67</f>
        <v>6743.12</v>
      </c>
      <c r="M104" s="112">
        <f>октябрь!E67</f>
        <v>7422.56</v>
      </c>
      <c r="N104" s="112">
        <f>ноябрь!E67</f>
        <v>6348.36</v>
      </c>
      <c r="O104" s="112">
        <f>декабрь!E67</f>
        <v>6578.78</v>
      </c>
      <c r="P104" s="112">
        <f t="shared" si="21"/>
        <v>39756.51</v>
      </c>
      <c r="Q104" s="112">
        <f>P104-O104</f>
        <v>33177.73</v>
      </c>
      <c r="R104" s="160">
        <f t="shared" si="12"/>
        <v>6578.779999999999</v>
      </c>
      <c r="S104" s="187"/>
    </row>
    <row r="105" spans="1:21" s="114" customFormat="1" ht="14.25">
      <c r="A105" s="138"/>
      <c r="B105" s="111" t="s">
        <v>146</v>
      </c>
      <c r="C105" s="112"/>
      <c r="D105" s="112">
        <f aca="true" t="shared" si="23" ref="D105:Q105">D95+D94+D93+D92+D91+D81+D72+D47+D104</f>
        <v>0</v>
      </c>
      <c r="E105" s="112">
        <f t="shared" si="23"/>
        <v>0</v>
      </c>
      <c r="F105" s="112">
        <f t="shared" si="23"/>
        <v>0</v>
      </c>
      <c r="G105" s="112">
        <f t="shared" si="23"/>
        <v>0</v>
      </c>
      <c r="H105" s="112">
        <f t="shared" si="23"/>
        <v>0</v>
      </c>
      <c r="I105" s="112">
        <f t="shared" si="23"/>
        <v>275327.21</v>
      </c>
      <c r="J105" s="112">
        <f t="shared" si="23"/>
        <v>255642.89999999997</v>
      </c>
      <c r="K105" s="112">
        <f t="shared" si="23"/>
        <v>287862.18</v>
      </c>
      <c r="L105" s="112">
        <f t="shared" si="23"/>
        <v>246518.43</v>
      </c>
      <c r="M105" s="112">
        <f t="shared" si="23"/>
        <v>337390.14999999997</v>
      </c>
      <c r="N105" s="112">
        <f t="shared" si="23"/>
        <v>281710.56999999995</v>
      </c>
      <c r="O105" s="112">
        <f t="shared" si="23"/>
        <v>276958.91000000003</v>
      </c>
      <c r="P105" s="112">
        <f t="shared" si="21"/>
        <v>1961410.35</v>
      </c>
      <c r="Q105" s="112">
        <f t="shared" si="23"/>
        <v>1627290.08</v>
      </c>
      <c r="R105" s="160">
        <f t="shared" si="12"/>
        <v>334120.27</v>
      </c>
      <c r="S105" s="113"/>
      <c r="U105" s="113" t="e">
        <f>U84-#REF!</f>
        <v>#REF!</v>
      </c>
    </row>
    <row r="106" spans="2:20" s="140" customFormat="1" ht="15">
      <c r="B106" s="140" t="s">
        <v>114</v>
      </c>
      <c r="C106" s="124"/>
      <c r="D106" s="124">
        <f aca="true" t="shared" si="24" ref="D106:Q106">D19-D105</f>
        <v>0</v>
      </c>
      <c r="E106" s="124">
        <f t="shared" si="24"/>
        <v>0</v>
      </c>
      <c r="F106" s="124">
        <f t="shared" si="24"/>
        <v>0</v>
      </c>
      <c r="G106" s="124">
        <f t="shared" si="24"/>
        <v>0</v>
      </c>
      <c r="H106" s="124">
        <f t="shared" si="24"/>
        <v>0</v>
      </c>
      <c r="I106" s="124">
        <f t="shared" si="24"/>
        <v>25232.669999999984</v>
      </c>
      <c r="J106" s="124">
        <f t="shared" si="24"/>
        <v>32667.510000000068</v>
      </c>
      <c r="K106" s="124">
        <f t="shared" si="24"/>
        <v>10091.270000000019</v>
      </c>
      <c r="L106" s="124">
        <f t="shared" si="24"/>
        <v>51316.02000000002</v>
      </c>
      <c r="M106" s="124">
        <f t="shared" si="24"/>
        <v>-87007.48999999996</v>
      </c>
      <c r="N106" s="124">
        <f t="shared" si="24"/>
        <v>8869.000000000058</v>
      </c>
      <c r="O106" s="124">
        <f t="shared" si="24"/>
        <v>-5366.119999999995</v>
      </c>
      <c r="P106" s="124">
        <f t="shared" si="24"/>
        <v>-158197.14000000036</v>
      </c>
      <c r="Q106" s="124">
        <f t="shared" si="24"/>
        <v>-246749.94800000032</v>
      </c>
      <c r="R106" s="154">
        <f>C106+P106</f>
        <v>-158197.14000000036</v>
      </c>
      <c r="S106" s="141"/>
      <c r="T106" s="141" t="e">
        <f>S106-#REF!</f>
        <v>#REF!</v>
      </c>
    </row>
    <row r="107" spans="2:19" s="76" customFormat="1" ht="15.75">
      <c r="B107" s="206" t="s">
        <v>102</v>
      </c>
      <c r="C107" s="207"/>
      <c r="D107" s="89"/>
      <c r="E107" s="89"/>
      <c r="F107" s="89"/>
      <c r="G107" s="89"/>
      <c r="H107" s="89"/>
      <c r="I107" s="89"/>
      <c r="J107" s="90"/>
      <c r="K107" s="90"/>
      <c r="L107" s="90"/>
      <c r="M107" s="90"/>
      <c r="N107" s="90"/>
      <c r="O107" s="90"/>
      <c r="P107" s="124"/>
      <c r="Q107" s="90"/>
      <c r="R107" s="154"/>
      <c r="S107" s="80"/>
    </row>
    <row r="108" spans="1:18" ht="15">
      <c r="A108" s="122"/>
      <c r="B108" s="123" t="s">
        <v>56</v>
      </c>
      <c r="C108" s="124"/>
      <c r="D108" s="124">
        <f>январь!E70</f>
        <v>0</v>
      </c>
      <c r="E108" s="124">
        <f>февраль!E70</f>
        <v>0</v>
      </c>
      <c r="F108" s="124">
        <f>март!E70</f>
        <v>0</v>
      </c>
      <c r="G108" s="124">
        <f>апрель!E70</f>
        <v>0</v>
      </c>
      <c r="H108" s="124">
        <f>май!E70</f>
        <v>0</v>
      </c>
      <c r="I108" s="124">
        <f>июнь!E70</f>
        <v>62353.62</v>
      </c>
      <c r="J108" s="125">
        <f>июль!E70</f>
        <v>71947.04</v>
      </c>
      <c r="K108" s="125">
        <f>август!E71</f>
        <v>69756.66</v>
      </c>
      <c r="L108" s="125">
        <f>сентябрь!E70</f>
        <v>76578.18</v>
      </c>
      <c r="M108" s="125">
        <f>октябрь!E70</f>
        <v>93224.48</v>
      </c>
      <c r="N108" s="125">
        <f>ноябрь!E70</f>
        <v>76228.8</v>
      </c>
      <c r="O108" s="125">
        <f>декабрь!E70</f>
        <v>81401.96</v>
      </c>
      <c r="P108" s="124">
        <f>SUM(D108:O108)</f>
        <v>531490.74</v>
      </c>
      <c r="Q108" s="125">
        <f>Q26+Q8</f>
        <v>379572.94</v>
      </c>
      <c r="R108" s="154">
        <f t="shared" si="12"/>
        <v>151917.8</v>
      </c>
    </row>
    <row r="109" spans="1:22" ht="15">
      <c r="A109" s="122"/>
      <c r="B109" s="123" t="s">
        <v>106</v>
      </c>
      <c r="C109" s="124"/>
      <c r="D109" s="124">
        <f>январь!E71</f>
        <v>0</v>
      </c>
      <c r="E109" s="124">
        <f>февраль!E71</f>
        <v>0</v>
      </c>
      <c r="F109" s="124">
        <f>март!E71</f>
        <v>0</v>
      </c>
      <c r="G109" s="124">
        <f>апрель!E71</f>
        <v>0</v>
      </c>
      <c r="H109" s="124">
        <f>май!E71</f>
        <v>0</v>
      </c>
      <c r="I109" s="124">
        <f>июнь!E71</f>
        <v>0</v>
      </c>
      <c r="J109" s="125">
        <f>июль!E71</f>
        <v>0</v>
      </c>
      <c r="K109" s="125">
        <f>август!E72</f>
        <v>0</v>
      </c>
      <c r="L109" s="125">
        <f>сентябрь!E71</f>
        <v>21053.66</v>
      </c>
      <c r="M109" s="125">
        <f>октябрь!E71</f>
        <v>159207.39</v>
      </c>
      <c r="N109" s="125">
        <f>ноябрь!E71</f>
        <v>219558.57</v>
      </c>
      <c r="O109" s="125">
        <f>декабрь!E71</f>
        <v>322370.02</v>
      </c>
      <c r="P109" s="124">
        <f>SUM(D109:O109)</f>
        <v>722189.64</v>
      </c>
      <c r="Q109" s="125">
        <f>Q28</f>
        <v>294893.69</v>
      </c>
      <c r="R109" s="154">
        <f t="shared" si="12"/>
        <v>427295.95</v>
      </c>
      <c r="S109" s="126">
        <f>P109+P110</f>
        <v>941831.88</v>
      </c>
      <c r="U109" s="142" t="e">
        <f>#REF!+#REF!</f>
        <v>#REF!</v>
      </c>
      <c r="V109" s="133" t="e">
        <f>U109*5%</f>
        <v>#REF!</v>
      </c>
    </row>
    <row r="110" spans="1:18" ht="15">
      <c r="A110" s="122"/>
      <c r="B110" s="123" t="s">
        <v>58</v>
      </c>
      <c r="C110" s="124"/>
      <c r="D110" s="124">
        <f>январь!E72</f>
        <v>0</v>
      </c>
      <c r="E110" s="124">
        <f>февраль!E72</f>
        <v>0</v>
      </c>
      <c r="F110" s="124">
        <f>март!E72</f>
        <v>0</v>
      </c>
      <c r="G110" s="124">
        <f>апрель!E72</f>
        <v>0</v>
      </c>
      <c r="H110" s="124">
        <f>май!E72</f>
        <v>0</v>
      </c>
      <c r="I110" s="124">
        <f>июнь!E72</f>
        <v>29678.23</v>
      </c>
      <c r="J110" s="125">
        <f>июль!E72</f>
        <v>24384.56</v>
      </c>
      <c r="K110" s="125">
        <f>август!E73</f>
        <v>31671.39</v>
      </c>
      <c r="L110" s="125">
        <f>сентябрь!E72</f>
        <v>35322.07</v>
      </c>
      <c r="M110" s="125">
        <f>октябрь!E72</f>
        <v>32189.49</v>
      </c>
      <c r="N110" s="125">
        <f>ноябрь!E72</f>
        <v>35539.99</v>
      </c>
      <c r="O110" s="125">
        <f>декабрь!E72</f>
        <v>30856.51</v>
      </c>
      <c r="P110" s="124">
        <f>SUM(D110:O110)</f>
        <v>219642.24</v>
      </c>
      <c r="Q110" s="125">
        <f>Q29</f>
        <v>167949.05</v>
      </c>
      <c r="R110" s="154">
        <f t="shared" si="12"/>
        <v>51693.19</v>
      </c>
    </row>
    <row r="111" spans="1:19" ht="15">
      <c r="A111" s="122" t="s">
        <v>95</v>
      </c>
      <c r="B111" s="123" t="s">
        <v>109</v>
      </c>
      <c r="C111" s="124"/>
      <c r="D111" s="124">
        <f>январь!E73</f>
        <v>0</v>
      </c>
      <c r="E111" s="124">
        <f>февраль!E73</f>
        <v>0</v>
      </c>
      <c r="F111" s="124">
        <f>март!E73</f>
        <v>0</v>
      </c>
      <c r="G111" s="124">
        <f>апрель!E73</f>
        <v>0</v>
      </c>
      <c r="H111" s="124">
        <f>май!E73</f>
        <v>0</v>
      </c>
      <c r="I111" s="124">
        <f>июнь!E73</f>
        <v>19168.09</v>
      </c>
      <c r="J111" s="125">
        <f>июль!E73</f>
        <v>20689.64</v>
      </c>
      <c r="K111" s="125">
        <f>август!E74</f>
        <v>21756.71</v>
      </c>
      <c r="L111" s="125">
        <f>сентябрь!E73</f>
        <v>22466.22</v>
      </c>
      <c r="M111" s="125">
        <f>октябрь!E73</f>
        <v>24370.74</v>
      </c>
      <c r="N111" s="125">
        <f>ноябрь!E73</f>
        <v>21339.54</v>
      </c>
      <c r="O111" s="125">
        <f>декабрь!E73</f>
        <v>26742.27</v>
      </c>
      <c r="P111" s="124">
        <f>SUM(D111:O111)</f>
        <v>156533.21</v>
      </c>
      <c r="Q111" s="125">
        <f>Q22</f>
        <v>95078.41</v>
      </c>
      <c r="R111" s="154">
        <f t="shared" si="12"/>
        <v>61454.79999999999</v>
      </c>
      <c r="S111" s="126">
        <f>P111+P112</f>
        <v>321493.57</v>
      </c>
    </row>
    <row r="112" spans="1:18" ht="15">
      <c r="A112" s="122"/>
      <c r="B112" s="123" t="s">
        <v>60</v>
      </c>
      <c r="C112" s="124"/>
      <c r="D112" s="124">
        <f>январь!E74</f>
        <v>0</v>
      </c>
      <c r="E112" s="124">
        <f>февраль!E74</f>
        <v>0</v>
      </c>
      <c r="F112" s="124">
        <f>март!E74</f>
        <v>0</v>
      </c>
      <c r="G112" s="124">
        <f>апрель!E74</f>
        <v>0</v>
      </c>
      <c r="H112" s="124">
        <f>май!E74</f>
        <v>0</v>
      </c>
      <c r="I112" s="124">
        <f>июнь!E74</f>
        <v>20822.780000000002</v>
      </c>
      <c r="J112" s="125">
        <f>июль!E74</f>
        <v>19026.93</v>
      </c>
      <c r="K112" s="125">
        <f>август!E75</f>
        <v>25091.63</v>
      </c>
      <c r="L112" s="125">
        <f>сентябрь!E74</f>
        <v>24177.13</v>
      </c>
      <c r="M112" s="125">
        <f>октябрь!E74</f>
        <v>25240.73</v>
      </c>
      <c r="N112" s="125">
        <f>ноябрь!E74</f>
        <v>24867.35</v>
      </c>
      <c r="O112" s="125">
        <f>декабрь!E74</f>
        <v>25733.81</v>
      </c>
      <c r="P112" s="124">
        <f>SUM(D112:O112)</f>
        <v>164960.36000000002</v>
      </c>
      <c r="Q112" s="125">
        <f>Q24+Q6</f>
        <v>104955.05</v>
      </c>
      <c r="R112" s="154">
        <f t="shared" si="12"/>
        <v>60005.31000000001</v>
      </c>
    </row>
    <row r="113" spans="1:19" s="114" customFormat="1" ht="14.25">
      <c r="A113" s="138"/>
      <c r="B113" s="111" t="s">
        <v>147</v>
      </c>
      <c r="C113" s="112">
        <f aca="true" t="shared" si="25" ref="C113:Q113">SUM(C108:C112)</f>
        <v>0</v>
      </c>
      <c r="D113" s="112">
        <f t="shared" si="25"/>
        <v>0</v>
      </c>
      <c r="E113" s="112">
        <f t="shared" si="25"/>
        <v>0</v>
      </c>
      <c r="F113" s="112">
        <f t="shared" si="25"/>
        <v>0</v>
      </c>
      <c r="G113" s="112">
        <f t="shared" si="25"/>
        <v>0</v>
      </c>
      <c r="H113" s="112">
        <f t="shared" si="25"/>
        <v>0</v>
      </c>
      <c r="I113" s="112">
        <f t="shared" si="25"/>
        <v>132022.72</v>
      </c>
      <c r="J113" s="112">
        <f t="shared" si="25"/>
        <v>136048.16999999998</v>
      </c>
      <c r="K113" s="112">
        <f t="shared" si="25"/>
        <v>148276.39</v>
      </c>
      <c r="L113" s="112">
        <f t="shared" si="25"/>
        <v>179597.26</v>
      </c>
      <c r="M113" s="112">
        <f t="shared" si="25"/>
        <v>334232.82999999996</v>
      </c>
      <c r="N113" s="112">
        <f t="shared" si="25"/>
        <v>377534.24999999994</v>
      </c>
      <c r="O113" s="112">
        <f t="shared" si="25"/>
        <v>487104.57000000007</v>
      </c>
      <c r="P113" s="112">
        <f t="shared" si="25"/>
        <v>1794816.19</v>
      </c>
      <c r="Q113" s="112">
        <f t="shared" si="25"/>
        <v>1042449.14</v>
      </c>
      <c r="R113" s="160">
        <f t="shared" si="12"/>
        <v>752367.0499999999</v>
      </c>
      <c r="S113" s="113"/>
    </row>
    <row r="114" spans="2:20" s="140" customFormat="1" ht="15">
      <c r="B114" s="140" t="s">
        <v>114</v>
      </c>
      <c r="C114" s="141"/>
      <c r="D114" s="141">
        <f aca="true" t="shared" si="26" ref="D114:Q114">D38-D113</f>
        <v>0</v>
      </c>
      <c r="E114" s="141">
        <f t="shared" si="26"/>
        <v>0</v>
      </c>
      <c r="F114" s="141">
        <f t="shared" si="26"/>
        <v>0</v>
      </c>
      <c r="G114" s="141">
        <f t="shared" si="26"/>
        <v>0</v>
      </c>
      <c r="H114" s="141">
        <f t="shared" si="26"/>
        <v>0</v>
      </c>
      <c r="I114" s="141">
        <f t="shared" si="26"/>
        <v>11762.26999999999</v>
      </c>
      <c r="J114" s="141">
        <f t="shared" si="26"/>
        <v>3027.6300000000047</v>
      </c>
      <c r="K114" s="141">
        <f t="shared" si="26"/>
        <v>-8138.040000000008</v>
      </c>
      <c r="L114" s="141">
        <f t="shared" si="26"/>
        <v>6365.720000000001</v>
      </c>
      <c r="M114" s="141">
        <f t="shared" si="26"/>
        <v>5887.9700000000885</v>
      </c>
      <c r="N114" s="141">
        <f t="shared" si="26"/>
        <v>-3564.289999999921</v>
      </c>
      <c r="O114" s="141">
        <f t="shared" si="26"/>
        <v>-3462.1200000000536</v>
      </c>
      <c r="P114" s="141">
        <f t="shared" si="26"/>
        <v>11879.139999999898</v>
      </c>
      <c r="Q114" s="141">
        <f t="shared" si="26"/>
        <v>49650.91999999981</v>
      </c>
      <c r="R114" s="154">
        <f>C114+P114</f>
        <v>11879.139999999898</v>
      </c>
      <c r="S114" s="141"/>
      <c r="T114" s="141" t="e">
        <f>S114-#REF!</f>
        <v>#REF!</v>
      </c>
    </row>
    <row r="115" spans="1:22" s="114" customFormat="1" ht="14.25">
      <c r="A115" s="138"/>
      <c r="B115" s="111" t="s">
        <v>115</v>
      </c>
      <c r="C115" s="112"/>
      <c r="D115" s="112">
        <f>D105+D113</f>
        <v>0</v>
      </c>
      <c r="E115" s="112">
        <f aca="true" t="shared" si="27" ref="D115:Q116">E105+E113</f>
        <v>0</v>
      </c>
      <c r="F115" s="112">
        <f t="shared" si="27"/>
        <v>0</v>
      </c>
      <c r="G115" s="112">
        <f t="shared" si="27"/>
        <v>0</v>
      </c>
      <c r="H115" s="112">
        <f t="shared" si="27"/>
        <v>0</v>
      </c>
      <c r="I115" s="112">
        <f t="shared" si="27"/>
        <v>407349.93000000005</v>
      </c>
      <c r="J115" s="112">
        <f t="shared" si="27"/>
        <v>391691.06999999995</v>
      </c>
      <c r="K115" s="112">
        <f t="shared" si="27"/>
        <v>436138.57</v>
      </c>
      <c r="L115" s="112">
        <f t="shared" si="27"/>
        <v>426115.69</v>
      </c>
      <c r="M115" s="112">
        <f t="shared" si="27"/>
        <v>671622.98</v>
      </c>
      <c r="N115" s="112">
        <f t="shared" si="27"/>
        <v>659244.8199999998</v>
      </c>
      <c r="O115" s="112">
        <f t="shared" si="27"/>
        <v>764063.4800000001</v>
      </c>
      <c r="P115" s="112">
        <f t="shared" si="27"/>
        <v>3756226.54</v>
      </c>
      <c r="Q115" s="112">
        <f t="shared" si="27"/>
        <v>2669739.22</v>
      </c>
      <c r="R115" s="160">
        <f t="shared" si="12"/>
        <v>1086487.3199999998</v>
      </c>
      <c r="S115" s="113"/>
      <c r="V115" s="113">
        <v>1999832.440690475</v>
      </c>
    </row>
    <row r="116" spans="2:20" s="140" customFormat="1" ht="30">
      <c r="B116" s="143" t="s">
        <v>116</v>
      </c>
      <c r="C116" s="144"/>
      <c r="D116" s="144">
        <f t="shared" si="27"/>
        <v>0</v>
      </c>
      <c r="E116" s="144">
        <f t="shared" si="27"/>
        <v>0</v>
      </c>
      <c r="F116" s="144">
        <f t="shared" si="27"/>
        <v>0</v>
      </c>
      <c r="G116" s="144">
        <f t="shared" si="27"/>
        <v>0</v>
      </c>
      <c r="H116" s="144">
        <f t="shared" si="27"/>
        <v>0</v>
      </c>
      <c r="I116" s="144">
        <f t="shared" si="27"/>
        <v>36994.93999999997</v>
      </c>
      <c r="J116" s="144">
        <f t="shared" si="27"/>
        <v>35695.14000000007</v>
      </c>
      <c r="K116" s="144">
        <f t="shared" si="27"/>
        <v>1953.2300000000105</v>
      </c>
      <c r="L116" s="144">
        <f t="shared" si="27"/>
        <v>57681.74000000002</v>
      </c>
      <c r="M116" s="144">
        <f t="shared" si="27"/>
        <v>-81119.51999999987</v>
      </c>
      <c r="N116" s="144">
        <f t="shared" si="27"/>
        <v>5304.710000000137</v>
      </c>
      <c r="O116" s="144">
        <f t="shared" si="27"/>
        <v>-8828.240000000049</v>
      </c>
      <c r="P116" s="144">
        <f>P114+P106</f>
        <v>-146318.00000000047</v>
      </c>
      <c r="Q116" s="144">
        <f t="shared" si="27"/>
        <v>-197099.02800000052</v>
      </c>
      <c r="R116" s="144">
        <f>C116+P116</f>
        <v>-146318.00000000047</v>
      </c>
      <c r="S116" s="141"/>
      <c r="T116" s="141" t="e">
        <f>S116-#REF!</f>
        <v>#REF!</v>
      </c>
    </row>
    <row r="117" spans="2:20" s="140" customFormat="1" ht="15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1"/>
      <c r="T117" s="141"/>
    </row>
    <row r="118" spans="2:19" ht="12.75">
      <c r="B118" s="127" t="s">
        <v>117</v>
      </c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7"/>
    </row>
    <row r="119" spans="2:19" ht="12.75">
      <c r="B119" s="127" t="s">
        <v>57</v>
      </c>
      <c r="C119" s="126"/>
      <c r="D119" s="126" t="e">
        <f>D109-D37-#REF!-D28</f>
        <v>#REF!</v>
      </c>
      <c r="E119" s="126" t="e">
        <f>E109-E37-#REF!-E28</f>
        <v>#REF!</v>
      </c>
      <c r="F119" s="126" t="e">
        <f>F109-F37-#REF!-F28</f>
        <v>#REF!</v>
      </c>
      <c r="G119" s="126" t="e">
        <f>G109-G37-#REF!-G28</f>
        <v>#REF!</v>
      </c>
      <c r="H119" s="126" t="e">
        <f>H109-H37-#REF!-H28</f>
        <v>#REF!</v>
      </c>
      <c r="I119" s="126" t="e">
        <f>I109-I37-#REF!-I28</f>
        <v>#REF!</v>
      </c>
      <c r="J119" s="126" t="e">
        <f>J109-J37-#REF!-J28</f>
        <v>#REF!</v>
      </c>
      <c r="K119" s="126" t="e">
        <f>K109-K37-#REF!-K28</f>
        <v>#REF!</v>
      </c>
      <c r="L119" s="126" t="e">
        <f>L109-L37-#REF!-L28</f>
        <v>#REF!</v>
      </c>
      <c r="M119" s="126" t="e">
        <f>M109-M37-#REF!-M28</f>
        <v>#REF!</v>
      </c>
      <c r="N119" s="126" t="e">
        <f>N109-N37-#REF!-N28</f>
        <v>#REF!</v>
      </c>
      <c r="O119" s="126" t="e">
        <f>O109-O37-#REF!-O28</f>
        <v>#REF!</v>
      </c>
      <c r="P119" s="141" t="e">
        <f>SUM(D119:O119)</f>
        <v>#REF!</v>
      </c>
      <c r="Q119" s="141" t="e">
        <f>P119/2429.5</f>
        <v>#REF!</v>
      </c>
      <c r="R119" s="126"/>
      <c r="S119" s="127"/>
    </row>
    <row r="120" spans="2:19" ht="12.75">
      <c r="B120" s="127" t="s">
        <v>108</v>
      </c>
      <c r="C120" s="126"/>
      <c r="D120" s="126" t="e">
        <f>D110-D33-#REF!-D30-D29</f>
        <v>#REF!</v>
      </c>
      <c r="E120" s="126" t="e">
        <f>E110-E33-#REF!-E30-E29</f>
        <v>#REF!</v>
      </c>
      <c r="F120" s="126" t="e">
        <f>F110-F33-#REF!-F30-F29</f>
        <v>#REF!</v>
      </c>
      <c r="G120" s="126" t="e">
        <f>G110-G33-#REF!-G30-G29</f>
        <v>#REF!</v>
      </c>
      <c r="H120" s="126" t="e">
        <f>H110-H33-#REF!-H30-H29</f>
        <v>#REF!</v>
      </c>
      <c r="I120" s="126" t="e">
        <f>I110-I33-#REF!-I30-I29</f>
        <v>#REF!</v>
      </c>
      <c r="J120" s="126" t="e">
        <f>J110-J33-#REF!-J30-J29</f>
        <v>#REF!</v>
      </c>
      <c r="K120" s="126" t="e">
        <f>K110-K33-#REF!-K30-K29</f>
        <v>#REF!</v>
      </c>
      <c r="L120" s="126" t="e">
        <f>L110-L33-#REF!-L30-L29</f>
        <v>#REF!</v>
      </c>
      <c r="M120" s="126" t="e">
        <f>M110-M33-#REF!-M30-M29</f>
        <v>#REF!</v>
      </c>
      <c r="N120" s="126" t="e">
        <f>N110-N33-#REF!-N30-N29</f>
        <v>#REF!</v>
      </c>
      <c r="O120" s="126" t="e">
        <f>O110-O33-#REF!-O30-O29</f>
        <v>#REF!</v>
      </c>
      <c r="P120" s="141" t="e">
        <f>SUM(D120:O120)</f>
        <v>#REF!</v>
      </c>
      <c r="Q120" s="147"/>
      <c r="R120" s="147"/>
      <c r="S120" s="127"/>
    </row>
    <row r="121" spans="2:19" ht="12.75">
      <c r="B121" s="127" t="s">
        <v>118</v>
      </c>
      <c r="C121" s="126"/>
      <c r="D121" s="126" t="e">
        <f>D111-D34-#REF!-D23-D22</f>
        <v>#REF!</v>
      </c>
      <c r="E121" s="126" t="e">
        <f>E111-E34-#REF!-E23-E22</f>
        <v>#REF!</v>
      </c>
      <c r="F121" s="126" t="e">
        <f>F111-F34-#REF!-F23-F22</f>
        <v>#REF!</v>
      </c>
      <c r="G121" s="126" t="e">
        <f>G111-G34-#REF!-G23-G22</f>
        <v>#REF!</v>
      </c>
      <c r="H121" s="126" t="e">
        <f>H111-H34-#REF!-H23-H22</f>
        <v>#REF!</v>
      </c>
      <c r="I121" s="126" t="e">
        <f>I111-I34-#REF!-I23-I22</f>
        <v>#REF!</v>
      </c>
      <c r="J121" s="126" t="e">
        <f>J111-J34-#REF!-J23-J22</f>
        <v>#REF!</v>
      </c>
      <c r="K121" s="126" t="e">
        <f>K111-K34-#REF!-K23-K22</f>
        <v>#REF!</v>
      </c>
      <c r="L121" s="126" t="e">
        <f>L111-L34-#REF!-L23-L22</f>
        <v>#REF!</v>
      </c>
      <c r="M121" s="126" t="e">
        <f>M111-M34-#REF!-M23-M22</f>
        <v>#REF!</v>
      </c>
      <c r="N121" s="126" t="e">
        <f>N111-N34-#REF!-N23-N22</f>
        <v>#REF!</v>
      </c>
      <c r="O121" s="126" t="e">
        <f>O111-O34-#REF!-O23-O22</f>
        <v>#REF!</v>
      </c>
      <c r="P121" s="141" t="e">
        <f>SUM(D121:O121)</f>
        <v>#REF!</v>
      </c>
      <c r="Q121" s="147"/>
      <c r="R121" s="147"/>
      <c r="S121" s="127"/>
    </row>
    <row r="122" spans="2:19" ht="12.75">
      <c r="B122" s="127" t="s">
        <v>119</v>
      </c>
      <c r="C122" s="126"/>
      <c r="D122" s="126" t="e">
        <f>D112-D35-#REF!-D25-D24</f>
        <v>#REF!</v>
      </c>
      <c r="E122" s="126" t="e">
        <f>E112-E35-#REF!-E25-E24</f>
        <v>#REF!</v>
      </c>
      <c r="F122" s="126" t="e">
        <f>F112-F35-#REF!-F25-F24</f>
        <v>#REF!</v>
      </c>
      <c r="G122" s="126" t="e">
        <f>G112-G35-#REF!-G25-G24</f>
        <v>#REF!</v>
      </c>
      <c r="H122" s="126" t="e">
        <f>H112-H35-#REF!-H25-H24</f>
        <v>#REF!</v>
      </c>
      <c r="I122" s="126" t="e">
        <f>I112-I35-#REF!-I25-I24</f>
        <v>#REF!</v>
      </c>
      <c r="J122" s="126" t="e">
        <f>J112-J35-#REF!-J25-J24</f>
        <v>#REF!</v>
      </c>
      <c r="K122" s="126" t="e">
        <f>K112-K35-#REF!-K25-K24</f>
        <v>#REF!</v>
      </c>
      <c r="L122" s="126" t="e">
        <f>L112-L35-#REF!-L25-L24</f>
        <v>#REF!</v>
      </c>
      <c r="M122" s="126" t="e">
        <f>M112-M35-#REF!-M25-M24</f>
        <v>#REF!</v>
      </c>
      <c r="N122" s="126" t="e">
        <f>N112-N35-#REF!-N25-N24</f>
        <v>#REF!</v>
      </c>
      <c r="O122" s="126" t="e">
        <f>O112-O35-#REF!-O25-O24</f>
        <v>#REF!</v>
      </c>
      <c r="P122" s="141" t="e">
        <f>SUM(D122:O122)</f>
        <v>#REF!</v>
      </c>
      <c r="Q122" s="147"/>
      <c r="R122" s="147"/>
      <c r="S122" s="127"/>
    </row>
    <row r="123" spans="2:19" ht="12.75">
      <c r="B123" s="127" t="s">
        <v>120</v>
      </c>
      <c r="C123" s="126"/>
      <c r="D123" s="126">
        <f aca="true" t="shared" si="28" ref="D123:O123">D108-D36-D27-D26</f>
        <v>0</v>
      </c>
      <c r="E123" s="126">
        <f t="shared" si="28"/>
        <v>0</v>
      </c>
      <c r="F123" s="126">
        <f t="shared" si="28"/>
        <v>0</v>
      </c>
      <c r="G123" s="126">
        <f t="shared" si="28"/>
        <v>0</v>
      </c>
      <c r="H123" s="126">
        <f t="shared" si="28"/>
        <v>0</v>
      </c>
      <c r="I123" s="126">
        <f t="shared" si="28"/>
        <v>-4950.309999999998</v>
      </c>
      <c r="J123" s="126">
        <f t="shared" si="28"/>
        <v>3142.719999999994</v>
      </c>
      <c r="K123" s="126">
        <f t="shared" si="28"/>
        <v>2397.040000000001</v>
      </c>
      <c r="L123" s="126">
        <f t="shared" si="28"/>
        <v>-5302.200000000004</v>
      </c>
      <c r="M123" s="126">
        <f t="shared" si="28"/>
        <v>26387.98999999999</v>
      </c>
      <c r="N123" s="126">
        <f t="shared" si="28"/>
        <v>1010.3899999999994</v>
      </c>
      <c r="O123" s="126">
        <f t="shared" si="28"/>
        <v>13666.790000000008</v>
      </c>
      <c r="P123" s="141">
        <f>SUM(D123:O123)</f>
        <v>36352.41999999999</v>
      </c>
      <c r="Q123" s="147"/>
      <c r="R123" s="147"/>
      <c r="S123" s="127"/>
    </row>
    <row r="124" spans="3:19" ht="12.75"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47"/>
      <c r="O124" s="147"/>
      <c r="P124" s="147"/>
      <c r="Q124" s="147"/>
      <c r="R124" s="147"/>
      <c r="S124" s="127"/>
    </row>
    <row r="125" spans="2:19" ht="12.75">
      <c r="B125" s="127" t="s">
        <v>57</v>
      </c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47"/>
      <c r="O125" s="147"/>
      <c r="P125" s="147"/>
      <c r="Q125" s="147"/>
      <c r="R125" s="147"/>
      <c r="S125" s="127"/>
    </row>
    <row r="126" spans="2:19" ht="12.75">
      <c r="B126" s="127" t="s">
        <v>108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47"/>
      <c r="O126" s="147"/>
      <c r="P126" s="147"/>
      <c r="Q126" s="147"/>
      <c r="R126" s="147"/>
      <c r="S126" s="127"/>
    </row>
    <row r="127" spans="2:19" ht="12.75">
      <c r="B127" s="127" t="s">
        <v>118</v>
      </c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47"/>
      <c r="O127" s="147"/>
      <c r="P127" s="147"/>
      <c r="Q127" s="147"/>
      <c r="R127" s="147"/>
      <c r="S127" s="127"/>
    </row>
    <row r="128" spans="2:19" ht="12.75">
      <c r="B128" s="127" t="s">
        <v>119</v>
      </c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47"/>
      <c r="O128" s="147"/>
      <c r="P128" s="147"/>
      <c r="Q128" s="147"/>
      <c r="R128" s="147"/>
      <c r="S128" s="127"/>
    </row>
    <row r="129" spans="2:19" ht="12.75">
      <c r="B129" s="127" t="s">
        <v>120</v>
      </c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47"/>
      <c r="O129" s="147"/>
      <c r="P129" s="147"/>
      <c r="Q129" s="147"/>
      <c r="R129" s="147"/>
      <c r="S129" s="127"/>
    </row>
    <row r="131" spans="2:3" ht="12.75">
      <c r="B131" s="127" t="s">
        <v>121</v>
      </c>
      <c r="C131" s="127" t="s">
        <v>122</v>
      </c>
    </row>
    <row r="133" spans="2:12" ht="12.75">
      <c r="B133" s="127" t="s">
        <v>123</v>
      </c>
      <c r="C133" s="127" t="s">
        <v>124</v>
      </c>
      <c r="L133" s="126">
        <f>D109+E109+F109</f>
        <v>0</v>
      </c>
    </row>
    <row r="136" spans="2:10" ht="12.75">
      <c r="B136" s="127" t="s">
        <v>106</v>
      </c>
      <c r="J136" s="126" t="e">
        <f>P109-#REF!-P28-S15</f>
        <v>#REF!</v>
      </c>
    </row>
    <row r="137" ht="12.75">
      <c r="J137" s="148" t="e">
        <f>J136/2895.2</f>
        <v>#REF!</v>
      </c>
    </row>
    <row r="138" spans="2:10" ht="12.75">
      <c r="B138" s="127" t="s">
        <v>125</v>
      </c>
      <c r="J138" s="126" t="e">
        <f>P110-#REF!-P29</f>
        <v>#REF!</v>
      </c>
    </row>
  </sheetData>
  <sheetProtection/>
  <mergeCells count="5">
    <mergeCell ref="B107:C107"/>
    <mergeCell ref="B1:R1"/>
    <mergeCell ref="B21:C21"/>
    <mergeCell ref="B44:R44"/>
    <mergeCell ref="B45:C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43">
      <selection activeCell="E67" sqref="E67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9" width="9.421875" style="14" bestFit="1" customWidth="1"/>
    <col min="10" max="16384" width="9.140625" style="14" customWidth="1"/>
  </cols>
  <sheetData>
    <row r="1" spans="1:5" s="2" customFormat="1" ht="15">
      <c r="A1" s="204" t="s">
        <v>0</v>
      </c>
      <c r="B1" s="204"/>
      <c r="C1" s="1" t="s">
        <v>165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4" t="s">
        <v>8</v>
      </c>
      <c r="B3" s="204"/>
      <c r="C3" s="204"/>
      <c r="D3" s="204"/>
      <c r="E3" s="204"/>
      <c r="F3" s="3" t="s">
        <v>162</v>
      </c>
      <c r="G3" s="1"/>
    </row>
    <row r="4" s="2" customFormat="1" ht="15">
      <c r="A4" s="53"/>
    </row>
    <row r="5" spans="1:8" s="2" customFormat="1" ht="18.75">
      <c r="A5" s="205" t="s">
        <v>169</v>
      </c>
      <c r="B5" s="205"/>
      <c r="C5" s="205"/>
      <c r="D5" s="205"/>
      <c r="E5" s="205"/>
      <c r="F5" s="205"/>
      <c r="G5" s="205"/>
      <c r="H5" s="205"/>
    </row>
    <row r="6" spans="1:8" s="2" customFormat="1" ht="15">
      <c r="A6" s="215" t="s">
        <v>149</v>
      </c>
      <c r="B6" s="215"/>
      <c r="C6" s="215"/>
      <c r="D6" s="215"/>
      <c r="E6" s="215"/>
      <c r="F6" s="215"/>
      <c r="G6" s="215"/>
      <c r="H6" s="215"/>
    </row>
    <row r="7" spans="1:6" s="2" customFormat="1" ht="15">
      <c r="A7" s="53"/>
      <c r="B7" s="4" t="s">
        <v>2</v>
      </c>
      <c r="C7" s="4"/>
      <c r="D7" s="5" t="s">
        <v>170</v>
      </c>
      <c r="E7" s="4"/>
      <c r="F7" s="4"/>
    </row>
    <row r="8" s="2" customFormat="1" ht="7.5" customHeight="1">
      <c r="A8" s="53"/>
    </row>
    <row r="9" spans="1:9" s="2" customFormat="1" ht="15">
      <c r="A9" s="149" t="s">
        <v>23</v>
      </c>
      <c r="B9" s="149"/>
      <c r="C9" s="149"/>
      <c r="D9" s="149"/>
      <c r="E9" s="149"/>
      <c r="F9" s="149"/>
      <c r="G9" s="149"/>
      <c r="H9" s="7">
        <v>12565.6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/>
      <c r="F11" s="23"/>
      <c r="G11" s="23">
        <f aca="true" t="shared" si="0" ref="G11:G23">E11+F11</f>
        <v>0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/>
      <c r="F12" s="23"/>
      <c r="G12" s="23">
        <f t="shared" si="0"/>
        <v>0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6" t="s">
        <v>129</v>
      </c>
      <c r="C14" s="159"/>
      <c r="D14" s="159"/>
      <c r="E14" s="159"/>
      <c r="F14" s="159"/>
      <c r="G14" s="23">
        <f t="shared" si="0"/>
        <v>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/>
      <c r="F15" s="23"/>
      <c r="G15" s="23">
        <f t="shared" si="0"/>
        <v>0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/>
      <c r="F16" s="23"/>
      <c r="G16" s="23">
        <f t="shared" si="0"/>
        <v>0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/>
      <c r="F17" s="23"/>
      <c r="G17" s="23">
        <f t="shared" si="0"/>
        <v>0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134</v>
      </c>
      <c r="B19" s="18" t="s">
        <v>50</v>
      </c>
      <c r="C19" s="15" t="s">
        <v>16</v>
      </c>
      <c r="D19" s="19">
        <v>1</v>
      </c>
      <c r="E19" s="23"/>
      <c r="F19" s="23"/>
      <c r="G19" s="23">
        <f t="shared" si="0"/>
        <v>0</v>
      </c>
      <c r="H19" s="19"/>
    </row>
    <row r="20" spans="1:8" s="2" customFormat="1" ht="15">
      <c r="A20" s="17" t="s">
        <v>135</v>
      </c>
      <c r="B20" s="33" t="s">
        <v>103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186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187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188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10" s="2" customFormat="1" ht="15">
      <c r="A24" s="17" t="s">
        <v>189</v>
      </c>
      <c r="B24" s="18" t="s">
        <v>48</v>
      </c>
      <c r="C24" s="15"/>
      <c r="D24" s="19"/>
      <c r="E24" s="23">
        <f>E25+E26+E27</f>
        <v>0</v>
      </c>
      <c r="F24" s="23">
        <f>F25+F26</f>
        <v>0</v>
      </c>
      <c r="G24" s="23">
        <f>G25+G26+G27</f>
        <v>0</v>
      </c>
      <c r="H24" s="19"/>
      <c r="J24" s="2" t="s">
        <v>95</v>
      </c>
    </row>
    <row r="25" spans="1:8" s="4" customFormat="1" ht="15">
      <c r="A25" s="55"/>
      <c r="B25" s="34"/>
      <c r="C25" s="161"/>
      <c r="D25" s="35"/>
      <c r="E25" s="36"/>
      <c r="F25" s="36"/>
      <c r="G25" s="36"/>
      <c r="H25" s="35"/>
    </row>
    <row r="26" spans="1:8" s="4" customFormat="1" ht="15">
      <c r="A26" s="55"/>
      <c r="B26" s="34"/>
      <c r="C26" s="161"/>
      <c r="D26" s="35"/>
      <c r="E26" s="162"/>
      <c r="F26" s="36"/>
      <c r="G26" s="36"/>
      <c r="H26" s="35"/>
    </row>
    <row r="27" spans="1:8" s="4" customFormat="1" ht="15">
      <c r="A27" s="193"/>
      <c r="B27" s="194"/>
      <c r="C27" s="195"/>
      <c r="D27" s="35"/>
      <c r="E27" s="162"/>
      <c r="F27" s="36"/>
      <c r="G27" s="36"/>
      <c r="H27" s="35"/>
    </row>
    <row r="28" spans="1:8" s="2" customFormat="1" ht="17.25" customHeight="1">
      <c r="A28" s="61" t="s">
        <v>33</v>
      </c>
      <c r="B28" s="62"/>
      <c r="C28" s="170"/>
      <c r="D28" s="135"/>
      <c r="E28" s="171">
        <f>E11+E12+E13+E14+E15+E16+E17+E18+E19+E24+E20+E21+E22+E23</f>
        <v>0</v>
      </c>
      <c r="F28" s="171">
        <f>F11+F12+F13+F14+F15+F16+F17+F18+F19+F24+F20+F21+F22+F23</f>
        <v>0</v>
      </c>
      <c r="G28" s="171">
        <f>G11+G12+G13+G14+G15+G16+G17+G18+G19+G24+G20+G21+G22+G23</f>
        <v>0</v>
      </c>
      <c r="H28" s="41"/>
    </row>
    <row r="29" s="2" customFormat="1" ht="8.25" customHeight="1">
      <c r="A29" s="53"/>
    </row>
    <row r="30" spans="1:8" s="2" customFormat="1" ht="15">
      <c r="A30" s="149" t="s">
        <v>32</v>
      </c>
      <c r="B30" s="149"/>
      <c r="C30" s="149"/>
      <c r="D30" s="149"/>
      <c r="E30" s="149"/>
      <c r="F30" s="149"/>
      <c r="G30" s="149"/>
      <c r="H30" s="149"/>
    </row>
    <row r="31" spans="1:8" s="2" customFormat="1" ht="36.75" customHeight="1">
      <c r="A31" s="17" t="s">
        <v>3</v>
      </c>
      <c r="B31" s="15" t="s">
        <v>40</v>
      </c>
      <c r="C31" s="15" t="s">
        <v>5</v>
      </c>
      <c r="D31" s="15" t="s">
        <v>6</v>
      </c>
      <c r="E31" s="16" t="s">
        <v>17</v>
      </c>
      <c r="F31" s="16" t="s">
        <v>39</v>
      </c>
      <c r="G31" s="15" t="s">
        <v>18</v>
      </c>
      <c r="H31" s="15" t="s">
        <v>7</v>
      </c>
    </row>
    <row r="32" spans="1:8" s="2" customFormat="1" ht="25.5" customHeight="1">
      <c r="A32" s="17" t="s">
        <v>34</v>
      </c>
      <c r="B32" s="18" t="s">
        <v>150</v>
      </c>
      <c r="C32" s="15" t="s">
        <v>16</v>
      </c>
      <c r="D32" s="19">
        <v>1</v>
      </c>
      <c r="E32" s="23"/>
      <c r="F32" s="23"/>
      <c r="G32" s="23">
        <f aca="true" t="shared" si="1" ref="G32:G38">E32+F32</f>
        <v>0</v>
      </c>
      <c r="H32" s="19"/>
    </row>
    <row r="33" spans="1:8" s="2" customFormat="1" ht="26.25" customHeight="1">
      <c r="A33" s="17" t="s">
        <v>35</v>
      </c>
      <c r="B33" s="18" t="s">
        <v>151</v>
      </c>
      <c r="C33" s="15" t="s">
        <v>16</v>
      </c>
      <c r="D33" s="19">
        <v>1</v>
      </c>
      <c r="E33" s="23"/>
      <c r="F33" s="23"/>
      <c r="G33" s="23">
        <f t="shared" si="1"/>
        <v>0</v>
      </c>
      <c r="H33" s="19"/>
    </row>
    <row r="34" spans="1:8" s="2" customFormat="1" ht="15">
      <c r="A34" s="17" t="s">
        <v>36</v>
      </c>
      <c r="B34" s="156" t="s">
        <v>129</v>
      </c>
      <c r="C34" s="15"/>
      <c r="D34" s="19"/>
      <c r="E34" s="23"/>
      <c r="F34" s="23"/>
      <c r="G34" s="23">
        <f t="shared" si="1"/>
        <v>0</v>
      </c>
      <c r="H34" s="19"/>
    </row>
    <row r="35" spans="1:8" s="2" customFormat="1" ht="15">
      <c r="A35" s="17" t="s">
        <v>37</v>
      </c>
      <c r="B35" s="18" t="s">
        <v>51</v>
      </c>
      <c r="C35" s="15" t="s">
        <v>16</v>
      </c>
      <c r="D35" s="19"/>
      <c r="E35" s="23"/>
      <c r="F35" s="23"/>
      <c r="G35" s="23">
        <f t="shared" si="1"/>
        <v>0</v>
      </c>
      <c r="H35" s="19"/>
    </row>
    <row r="36" spans="1:8" s="2" customFormat="1" ht="15">
      <c r="A36" s="17" t="s">
        <v>137</v>
      </c>
      <c r="B36" s="18" t="s">
        <v>48</v>
      </c>
      <c r="C36" s="15" t="s">
        <v>9</v>
      </c>
      <c r="D36" s="19">
        <v>1</v>
      </c>
      <c r="E36" s="23">
        <f>E37+E38</f>
        <v>0</v>
      </c>
      <c r="F36" s="23">
        <f>F37+F38</f>
        <v>0</v>
      </c>
      <c r="G36" s="23">
        <f t="shared" si="1"/>
        <v>0</v>
      </c>
      <c r="H36" s="19"/>
    </row>
    <row r="37" spans="1:8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</row>
    <row r="38" spans="1:9" s="4" customFormat="1" ht="15">
      <c r="A38" s="55"/>
      <c r="B38" s="34"/>
      <c r="C38" s="161"/>
      <c r="D38" s="35"/>
      <c r="E38" s="36"/>
      <c r="F38" s="36"/>
      <c r="G38" s="36">
        <f t="shared" si="1"/>
        <v>0</v>
      </c>
      <c r="H38" s="35"/>
      <c r="I38" s="4" t="s">
        <v>95</v>
      </c>
    </row>
    <row r="39" spans="1:8" s="2" customFormat="1" ht="15">
      <c r="A39" s="231" t="s">
        <v>10</v>
      </c>
      <c r="B39" s="232"/>
      <c r="C39" s="203"/>
      <c r="D39" s="41"/>
      <c r="E39" s="171">
        <f>E32+E33+E34+E35+E36</f>
        <v>0</v>
      </c>
      <c r="F39" s="171">
        <f>F32+F33+F34+F35+F36</f>
        <v>0</v>
      </c>
      <c r="G39" s="171">
        <f>G32+G33+G34+G35+G36</f>
        <v>0</v>
      </c>
      <c r="H39" s="41"/>
    </row>
    <row r="40" s="2" customFormat="1" ht="9.75" customHeight="1">
      <c r="A40" s="53"/>
    </row>
    <row r="41" spans="1:8" s="2" customFormat="1" ht="15">
      <c r="A41" s="220" t="s">
        <v>38</v>
      </c>
      <c r="B41" s="220"/>
      <c r="C41" s="220"/>
      <c r="D41" s="220"/>
      <c r="E41" s="220"/>
      <c r="F41" s="220"/>
      <c r="G41" s="220"/>
      <c r="H41" s="220"/>
    </row>
    <row r="42" spans="1:8" s="2" customFormat="1" ht="36" customHeight="1">
      <c r="A42" s="17" t="s">
        <v>3</v>
      </c>
      <c r="B42" s="15" t="s">
        <v>40</v>
      </c>
      <c r="C42" s="15" t="s">
        <v>5</v>
      </c>
      <c r="D42" s="15" t="s">
        <v>6</v>
      </c>
      <c r="E42" s="16" t="s">
        <v>17</v>
      </c>
      <c r="F42" s="16" t="s">
        <v>39</v>
      </c>
      <c r="G42" s="15" t="s">
        <v>18</v>
      </c>
      <c r="H42" s="15" t="s">
        <v>7</v>
      </c>
    </row>
    <row r="43" spans="1:8" s="2" customFormat="1" ht="26.25" customHeight="1">
      <c r="A43" s="17" t="s">
        <v>42</v>
      </c>
      <c r="B43" s="18" t="s">
        <v>153</v>
      </c>
      <c r="C43" s="15" t="s">
        <v>16</v>
      </c>
      <c r="D43" s="15">
        <v>1</v>
      </c>
      <c r="E43" s="25"/>
      <c r="F43" s="25"/>
      <c r="G43" s="26">
        <f>E43+F43</f>
        <v>0</v>
      </c>
      <c r="H43" s="19"/>
    </row>
    <row r="44" spans="1:8" s="2" customFormat="1" ht="15">
      <c r="A44" s="17"/>
      <c r="B44" s="156" t="s">
        <v>129</v>
      </c>
      <c r="C44" s="15"/>
      <c r="D44" s="15"/>
      <c r="E44" s="25"/>
      <c r="F44" s="25"/>
      <c r="G44" s="26">
        <f>E44+F44</f>
        <v>0</v>
      </c>
      <c r="H44" s="19"/>
    </row>
    <row r="45" spans="1:8" s="2" customFormat="1" ht="15">
      <c r="A45" s="17" t="s">
        <v>43</v>
      </c>
      <c r="B45" s="18" t="s">
        <v>48</v>
      </c>
      <c r="C45" s="15"/>
      <c r="D45" s="15"/>
      <c r="E45" s="25"/>
      <c r="F45" s="25"/>
      <c r="G45" s="26">
        <f>E45+F45</f>
        <v>0</v>
      </c>
      <c r="H45" s="19"/>
    </row>
    <row r="46" spans="1:11" s="2" customFormat="1" ht="15">
      <c r="A46" s="17"/>
      <c r="B46" s="18"/>
      <c r="C46" s="15"/>
      <c r="D46" s="19"/>
      <c r="E46" s="23"/>
      <c r="F46" s="26"/>
      <c r="G46" s="37">
        <f>E46+F46</f>
        <v>0</v>
      </c>
      <c r="H46" s="19"/>
      <c r="K46" s="12">
        <f>F28+F39+F48</f>
        <v>0</v>
      </c>
    </row>
    <row r="47" spans="1:8" s="2" customFormat="1" ht="15">
      <c r="A47" s="17"/>
      <c r="B47" s="18"/>
      <c r="C47" s="19"/>
      <c r="D47" s="19"/>
      <c r="E47" s="23"/>
      <c r="F47" s="26"/>
      <c r="G47" s="37">
        <f>E47+F47</f>
        <v>0</v>
      </c>
      <c r="H47" s="19"/>
    </row>
    <row r="48" spans="1:8" s="2" customFormat="1" ht="15">
      <c r="A48" s="228" t="s">
        <v>41</v>
      </c>
      <c r="B48" s="229"/>
      <c r="C48" s="230"/>
      <c r="D48" s="41"/>
      <c r="E48" s="42">
        <f>SUM(E43:E47)</f>
        <v>0</v>
      </c>
      <c r="F48" s="44">
        <f>SUM(F43:F45)</f>
        <v>0</v>
      </c>
      <c r="G48" s="42">
        <f>SUM(G43:G47)</f>
        <v>0</v>
      </c>
      <c r="H48" s="41"/>
    </row>
    <row r="49" spans="1:8" s="2" customFormat="1" ht="7.5" customHeight="1">
      <c r="A49" s="54"/>
      <c r="B49" s="8"/>
      <c r="C49" s="8"/>
      <c r="D49" s="9"/>
      <c r="E49" s="9"/>
      <c r="F49" s="10"/>
      <c r="G49" s="9"/>
      <c r="H49" s="11"/>
    </row>
    <row r="50" spans="1:8" s="7" customFormat="1" ht="15" customHeight="1">
      <c r="A50" s="220" t="s">
        <v>154</v>
      </c>
      <c r="B50" s="220"/>
      <c r="C50" s="220"/>
      <c r="D50" s="220"/>
      <c r="E50" s="220"/>
      <c r="F50" s="220"/>
      <c r="G50" s="220"/>
      <c r="H50" s="58"/>
    </row>
    <row r="51" spans="1:7" s="2" customFormat="1" ht="24.75">
      <c r="A51" s="17" t="s">
        <v>3</v>
      </c>
      <c r="B51" s="15" t="s">
        <v>4</v>
      </c>
      <c r="C51" s="15" t="s">
        <v>5</v>
      </c>
      <c r="D51" s="15" t="s">
        <v>6</v>
      </c>
      <c r="E51" s="16" t="s">
        <v>45</v>
      </c>
      <c r="F51" s="221" t="s">
        <v>46</v>
      </c>
      <c r="G51" s="222"/>
    </row>
    <row r="52" spans="1:7" s="2" customFormat="1" ht="25.5" customHeight="1">
      <c r="A52" s="17" t="s">
        <v>65</v>
      </c>
      <c r="B52" s="27" t="s">
        <v>152</v>
      </c>
      <c r="C52" s="29" t="s">
        <v>16</v>
      </c>
      <c r="D52" s="28">
        <v>1</v>
      </c>
      <c r="E52" s="30"/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16</v>
      </c>
      <c r="D53" s="28">
        <v>1</v>
      </c>
      <c r="E53" s="30"/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16</v>
      </c>
      <c r="D54" s="28">
        <v>1</v>
      </c>
      <c r="E54" s="30"/>
      <c r="F54" s="30"/>
      <c r="G54" s="30"/>
    </row>
    <row r="55" spans="1:7" s="2" customFormat="1" ht="15">
      <c r="A55" s="17" t="s">
        <v>68</v>
      </c>
      <c r="B55" s="28" t="s">
        <v>54</v>
      </c>
      <c r="C55" s="29" t="s">
        <v>16</v>
      </c>
      <c r="D55" s="28">
        <v>1</v>
      </c>
      <c r="E55" s="30"/>
      <c r="F55" s="30"/>
      <c r="G55" s="30"/>
    </row>
    <row r="56" spans="1:7" s="2" customFormat="1" ht="15">
      <c r="A56" s="17" t="s">
        <v>70</v>
      </c>
      <c r="B56" s="18" t="s">
        <v>73</v>
      </c>
      <c r="C56" s="29" t="s">
        <v>16</v>
      </c>
      <c r="D56" s="28">
        <v>1</v>
      </c>
      <c r="E56" s="30"/>
      <c r="F56" s="30"/>
      <c r="G56" s="30"/>
    </row>
    <row r="57" spans="1:7" s="4" customFormat="1" ht="15">
      <c r="A57" s="55"/>
      <c r="B57" s="34" t="s">
        <v>62</v>
      </c>
      <c r="C57" s="29" t="s">
        <v>16</v>
      </c>
      <c r="D57" s="28">
        <v>1</v>
      </c>
      <c r="E57" s="36"/>
      <c r="F57" s="37"/>
      <c r="G57" s="36"/>
    </row>
    <row r="58" spans="1:11" s="4" customFormat="1" ht="15">
      <c r="A58" s="55"/>
      <c r="B58" s="34" t="s">
        <v>63</v>
      </c>
      <c r="C58" s="29" t="s">
        <v>16</v>
      </c>
      <c r="D58" s="28">
        <v>1</v>
      </c>
      <c r="E58" s="36"/>
      <c r="F58" s="37"/>
      <c r="G58" s="36"/>
      <c r="J58" s="38"/>
      <c r="K58" s="39"/>
    </row>
    <row r="59" spans="1:7" s="4" customFormat="1" ht="24.75">
      <c r="A59" s="55"/>
      <c r="B59" s="34" t="s">
        <v>64</v>
      </c>
      <c r="C59" s="29" t="s">
        <v>16</v>
      </c>
      <c r="D59" s="28">
        <v>1</v>
      </c>
      <c r="E59" s="36"/>
      <c r="F59" s="37"/>
      <c r="G59" s="36"/>
    </row>
    <row r="60" spans="1:7" s="4" customFormat="1" ht="15">
      <c r="A60" s="55"/>
      <c r="B60" s="34" t="s">
        <v>69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72</v>
      </c>
      <c r="C62" s="29" t="s">
        <v>16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75</v>
      </c>
      <c r="C63" s="29" t="s">
        <v>16</v>
      </c>
      <c r="D63" s="28">
        <v>1</v>
      </c>
      <c r="E63" s="35"/>
      <c r="F63" s="40"/>
      <c r="G63" s="35"/>
    </row>
    <row r="64" spans="1:7" s="4" customFormat="1" ht="15">
      <c r="A64" s="55"/>
      <c r="B64" s="34" t="s">
        <v>76</v>
      </c>
      <c r="C64" s="29" t="s">
        <v>16</v>
      </c>
      <c r="D64" s="28">
        <v>1</v>
      </c>
      <c r="E64" s="35"/>
      <c r="F64" s="40"/>
      <c r="G64" s="35"/>
    </row>
    <row r="65" spans="1:9" s="4" customFormat="1" ht="15">
      <c r="A65" s="55"/>
      <c r="B65" s="34"/>
      <c r="C65" s="35"/>
      <c r="D65" s="35"/>
      <c r="E65" s="35"/>
      <c r="F65" s="40"/>
      <c r="G65" s="35"/>
      <c r="I65" s="39"/>
    </row>
    <row r="66" spans="1:7" s="2" customFormat="1" ht="15">
      <c r="A66" s="180" t="s">
        <v>155</v>
      </c>
      <c r="B66" s="181"/>
      <c r="C66" s="182"/>
      <c r="D66" s="41"/>
      <c r="E66" s="42">
        <f>E52+E53+E54+E55+E56</f>
        <v>0</v>
      </c>
      <c r="F66" s="43"/>
      <c r="G66" s="41"/>
    </row>
    <row r="67" spans="1:7" s="52" customFormat="1" ht="25.5">
      <c r="A67" s="56" t="s">
        <v>156</v>
      </c>
      <c r="B67" s="47" t="s">
        <v>55</v>
      </c>
      <c r="C67" s="48" t="s">
        <v>16</v>
      </c>
      <c r="D67" s="49">
        <v>1</v>
      </c>
      <c r="E67" s="51"/>
      <c r="F67" s="50"/>
      <c r="G67" s="51"/>
    </row>
    <row r="68" spans="1:7" s="46" customFormat="1" ht="15" customHeight="1">
      <c r="A68" s="223" t="s">
        <v>157</v>
      </c>
      <c r="B68" s="224"/>
      <c r="C68" s="224"/>
      <c r="D68" s="224"/>
      <c r="E68" s="224"/>
      <c r="F68" s="224"/>
      <c r="G68" s="225"/>
    </row>
    <row r="69" spans="1:7" s="2" customFormat="1" ht="33.75" customHeight="1">
      <c r="A69" s="17" t="s">
        <v>3</v>
      </c>
      <c r="B69" s="15" t="s">
        <v>4</v>
      </c>
      <c r="C69" s="15" t="s">
        <v>5</v>
      </c>
      <c r="D69" s="15" t="s">
        <v>6</v>
      </c>
      <c r="E69" s="16" t="s">
        <v>45</v>
      </c>
      <c r="F69" s="221" t="s">
        <v>46</v>
      </c>
      <c r="G69" s="222"/>
    </row>
    <row r="70" spans="1:7" s="2" customFormat="1" ht="25.5" customHeight="1">
      <c r="A70" s="17"/>
      <c r="B70" s="33" t="s">
        <v>56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57</v>
      </c>
      <c r="C71" s="29" t="s">
        <v>16</v>
      </c>
      <c r="D71" s="28">
        <v>1</v>
      </c>
      <c r="E71" s="30"/>
      <c r="F71" s="30"/>
      <c r="G71" s="30"/>
    </row>
    <row r="72" spans="1:9" s="2" customFormat="1" ht="15">
      <c r="A72" s="17"/>
      <c r="B72" s="33" t="s">
        <v>58</v>
      </c>
      <c r="C72" s="29" t="s">
        <v>16</v>
      </c>
      <c r="D72" s="28">
        <v>1</v>
      </c>
      <c r="E72" s="30"/>
      <c r="F72" s="30"/>
      <c r="G72" s="30"/>
      <c r="I72" s="13"/>
    </row>
    <row r="73" spans="1:7" s="2" customFormat="1" ht="15">
      <c r="A73" s="17"/>
      <c r="B73" s="33" t="s">
        <v>59</v>
      </c>
      <c r="C73" s="29" t="s">
        <v>16</v>
      </c>
      <c r="D73" s="28">
        <v>1</v>
      </c>
      <c r="E73" s="30"/>
      <c r="F73" s="30"/>
      <c r="G73" s="30"/>
    </row>
    <row r="74" spans="1:9" s="2" customFormat="1" ht="15">
      <c r="A74" s="17"/>
      <c r="B74" s="33" t="s">
        <v>60</v>
      </c>
      <c r="C74" s="29" t="s">
        <v>16</v>
      </c>
      <c r="D74" s="19">
        <v>1</v>
      </c>
      <c r="E74" s="30"/>
      <c r="F74" s="26"/>
      <c r="G74" s="23"/>
      <c r="I74" s="13">
        <f>E73+E74</f>
        <v>0</v>
      </c>
    </row>
    <row r="75" spans="1:7" s="2" customFormat="1" ht="15">
      <c r="A75" s="17"/>
      <c r="B75" s="18"/>
      <c r="C75" s="29"/>
      <c r="D75" s="28"/>
      <c r="E75" s="30"/>
      <c r="F75" s="30"/>
      <c r="G75" s="30"/>
    </row>
    <row r="76" spans="1:7" s="2" customFormat="1" ht="15">
      <c r="A76" s="216" t="s">
        <v>61</v>
      </c>
      <c r="B76" s="217"/>
      <c r="C76" s="218"/>
      <c r="D76" s="19"/>
      <c r="E76" s="30">
        <f>SUM(E70:E75)</f>
        <v>0</v>
      </c>
      <c r="F76" s="21"/>
      <c r="G76" s="19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pans="1:7" s="2" customFormat="1" ht="15">
      <c r="A80" s="54"/>
      <c r="B80" s="8"/>
      <c r="C80" s="8"/>
      <c r="D80" s="31"/>
      <c r="E80" s="45"/>
      <c r="F80" s="32"/>
      <c r="G80" s="31"/>
    </row>
    <row r="81" s="2" customFormat="1" ht="15">
      <c r="A81" s="53"/>
    </row>
    <row r="82" spans="1:7" s="2" customFormat="1" ht="15">
      <c r="A82" s="219" t="s">
        <v>11</v>
      </c>
      <c r="B82" s="219"/>
      <c r="C82" s="219"/>
      <c r="D82" s="219"/>
      <c r="E82" s="226">
        <f>G28+G39+G48+E66+E67+E76</f>
        <v>0</v>
      </c>
      <c r="F82" s="226"/>
      <c r="G82" s="226"/>
    </row>
    <row r="83" spans="1:7" s="2" customFormat="1" ht="15">
      <c r="A83" s="53"/>
      <c r="G83" s="13"/>
    </row>
    <row r="84" s="2" customFormat="1" ht="15">
      <c r="A84" s="53"/>
    </row>
    <row r="85" s="2" customFormat="1" ht="15">
      <c r="A85" s="53"/>
    </row>
    <row r="86" s="2" customFormat="1" ht="15">
      <c r="A86" s="53"/>
    </row>
    <row r="87" spans="1:5" s="2" customFormat="1" ht="15">
      <c r="A87" s="227" t="s">
        <v>47</v>
      </c>
      <c r="B87" s="227"/>
      <c r="E87" s="2" t="s">
        <v>12</v>
      </c>
    </row>
    <row r="88" spans="1:5" s="2" customFormat="1" ht="15">
      <c r="A88" s="227" t="s">
        <v>1</v>
      </c>
      <c r="B88" s="227"/>
      <c r="E88" s="2" t="s">
        <v>165</v>
      </c>
    </row>
    <row r="89" spans="1:5" s="2" customFormat="1" ht="30" customHeight="1">
      <c r="A89" s="215" t="s">
        <v>71</v>
      </c>
      <c r="B89" s="215"/>
      <c r="C89" s="22"/>
      <c r="E89" s="2" t="s">
        <v>15</v>
      </c>
    </row>
    <row r="90" s="2" customFormat="1" ht="15">
      <c r="A90" s="53"/>
    </row>
    <row r="91" s="2" customFormat="1" ht="15">
      <c r="A91" s="53"/>
    </row>
    <row r="92" s="2" customFormat="1" ht="15">
      <c r="A92" s="53"/>
    </row>
    <row r="93" s="2" customFormat="1" ht="15">
      <c r="A93" s="53"/>
    </row>
  </sheetData>
  <sheetProtection/>
  <mergeCells count="17">
    <mergeCell ref="A48:C48"/>
    <mergeCell ref="A39:C39"/>
    <mergeCell ref="A41:H41"/>
    <mergeCell ref="A1:B1"/>
    <mergeCell ref="A3:E3"/>
    <mergeCell ref="A5:H5"/>
    <mergeCell ref="A6:H6"/>
    <mergeCell ref="A89:B89"/>
    <mergeCell ref="A76:C76"/>
    <mergeCell ref="A82:D82"/>
    <mergeCell ref="A50:G50"/>
    <mergeCell ref="F69:G69"/>
    <mergeCell ref="F51:G51"/>
    <mergeCell ref="A68:G68"/>
    <mergeCell ref="E82:G82"/>
    <mergeCell ref="A87:B87"/>
    <mergeCell ref="A88:B88"/>
  </mergeCells>
  <printOptions/>
  <pageMargins left="0.42" right="0.3" top="0.6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58">
      <selection activeCell="E15" sqref="E15:E22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4" t="s">
        <v>0</v>
      </c>
      <c r="B1" s="204"/>
      <c r="C1" s="1" t="s">
        <v>165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4" t="s">
        <v>8</v>
      </c>
      <c r="B3" s="204"/>
      <c r="C3" s="204"/>
      <c r="D3" s="204"/>
      <c r="E3" s="204"/>
      <c r="F3" s="3" t="s">
        <v>162</v>
      </c>
      <c r="G3" s="1"/>
    </row>
    <row r="4" s="2" customFormat="1" ht="15">
      <c r="A4" s="53"/>
    </row>
    <row r="5" spans="1:8" s="2" customFormat="1" ht="18.75">
      <c r="A5" s="205" t="s">
        <v>206</v>
      </c>
      <c r="B5" s="205"/>
      <c r="C5" s="205"/>
      <c r="D5" s="205"/>
      <c r="E5" s="205"/>
      <c r="F5" s="205"/>
      <c r="G5" s="205"/>
      <c r="H5" s="205"/>
    </row>
    <row r="6" spans="1:8" s="2" customFormat="1" ht="15">
      <c r="A6" s="215" t="s">
        <v>149</v>
      </c>
      <c r="B6" s="215"/>
      <c r="C6" s="215"/>
      <c r="D6" s="215"/>
      <c r="E6" s="215"/>
      <c r="F6" s="215"/>
      <c r="G6" s="215"/>
      <c r="H6" s="215"/>
    </row>
    <row r="7" spans="1:6" s="2" customFormat="1" ht="15">
      <c r="A7" s="53"/>
      <c r="B7" s="4" t="s">
        <v>2</v>
      </c>
      <c r="C7" s="4"/>
      <c r="D7" s="5" t="s">
        <v>203</v>
      </c>
      <c r="E7" s="4"/>
      <c r="F7" s="4"/>
    </row>
    <row r="8" s="2" customFormat="1" ht="7.5" customHeight="1">
      <c r="A8" s="53"/>
    </row>
    <row r="9" spans="1:9" s="2" customFormat="1" ht="15">
      <c r="A9" s="149" t="s">
        <v>23</v>
      </c>
      <c r="B9" s="149"/>
      <c r="C9" s="149"/>
      <c r="D9" s="149"/>
      <c r="E9" s="149"/>
      <c r="F9" s="149"/>
      <c r="G9" s="149"/>
      <c r="H9" s="7">
        <v>12565.6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/>
      <c r="F11" s="23"/>
      <c r="G11" s="23">
        <f aca="true" t="shared" si="0" ref="G11:G23">E11+F11</f>
        <v>0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/>
      <c r="F12" s="23"/>
      <c r="G12" s="23">
        <f t="shared" si="0"/>
        <v>0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6" t="s">
        <v>129</v>
      </c>
      <c r="C14" s="159"/>
      <c r="D14" s="159"/>
      <c r="E14" s="159"/>
      <c r="F14" s="159"/>
      <c r="G14" s="23">
        <f t="shared" si="0"/>
        <v>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/>
      <c r="F15" s="23"/>
      <c r="G15" s="23">
        <f t="shared" si="0"/>
        <v>0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/>
      <c r="F16" s="23"/>
      <c r="G16" s="23">
        <f t="shared" si="0"/>
        <v>0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/>
      <c r="F17" s="23"/>
      <c r="G17" s="23">
        <f t="shared" si="0"/>
        <v>0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134</v>
      </c>
      <c r="B19" s="18" t="s">
        <v>50</v>
      </c>
      <c r="C19" s="15" t="s">
        <v>16</v>
      </c>
      <c r="D19" s="19">
        <v>1</v>
      </c>
      <c r="E19" s="23"/>
      <c r="F19" s="23"/>
      <c r="G19" s="23">
        <f t="shared" si="0"/>
        <v>0</v>
      </c>
      <c r="H19" s="19"/>
    </row>
    <row r="20" spans="1:8" s="2" customFormat="1" ht="15">
      <c r="A20" s="17" t="s">
        <v>135</v>
      </c>
      <c r="B20" s="33" t="s">
        <v>103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186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187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188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10" s="2" customFormat="1" ht="15">
      <c r="A24" s="17" t="s">
        <v>189</v>
      </c>
      <c r="B24" s="18" t="s">
        <v>48</v>
      </c>
      <c r="C24" s="15"/>
      <c r="D24" s="19"/>
      <c r="E24" s="23">
        <f>E25+E26+E27</f>
        <v>0</v>
      </c>
      <c r="F24" s="23">
        <f>F25+F26</f>
        <v>0</v>
      </c>
      <c r="G24" s="23">
        <f>G25+G26+G27</f>
        <v>0</v>
      </c>
      <c r="H24" s="19"/>
      <c r="J24" s="2" t="s">
        <v>95</v>
      </c>
    </row>
    <row r="25" spans="1:8" s="4" customFormat="1" ht="15">
      <c r="A25" s="55"/>
      <c r="B25" s="34"/>
      <c r="C25" s="161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1"/>
      <c r="D26" s="35"/>
      <c r="E26" s="162"/>
      <c r="F26" s="36"/>
      <c r="G26" s="36">
        <f>E26+F26</f>
        <v>0</v>
      </c>
      <c r="H26" s="35"/>
    </row>
    <row r="27" spans="1:8" s="4" customFormat="1" ht="15">
      <c r="A27" s="193"/>
      <c r="B27" s="194"/>
      <c r="C27" s="195"/>
      <c r="D27" s="35"/>
      <c r="E27" s="162"/>
      <c r="F27" s="36"/>
      <c r="G27" s="36">
        <f>E27+F27</f>
        <v>0</v>
      </c>
      <c r="H27" s="35"/>
    </row>
    <row r="28" spans="1:8" s="2" customFormat="1" ht="17.25" customHeight="1">
      <c r="A28" s="61" t="s">
        <v>33</v>
      </c>
      <c r="B28" s="62"/>
      <c r="C28" s="170"/>
      <c r="D28" s="135"/>
      <c r="E28" s="171">
        <f>E11+E12+E13+E14+E15+E16+E17+E18+E19+E24+E20+E21+E22+E23</f>
        <v>0</v>
      </c>
      <c r="F28" s="171">
        <f>F11+F12+F13+F14+F15+F16+F17+F18+F19+F24+F20+F21+F22+F23</f>
        <v>0</v>
      </c>
      <c r="G28" s="171">
        <f>G11+G12+G13+G14+G15+G16+G17+G18+G19+G24+G20+G21+G22+G23</f>
        <v>0</v>
      </c>
      <c r="H28" s="41"/>
    </row>
    <row r="29" s="2" customFormat="1" ht="8.25" customHeight="1">
      <c r="A29" s="53"/>
    </row>
    <row r="30" spans="1:8" s="2" customFormat="1" ht="15">
      <c r="A30" s="149" t="s">
        <v>32</v>
      </c>
      <c r="B30" s="149"/>
      <c r="C30" s="149"/>
      <c r="D30" s="149"/>
      <c r="E30" s="149"/>
      <c r="F30" s="149"/>
      <c r="G30" s="149"/>
      <c r="H30" s="149"/>
    </row>
    <row r="31" spans="1:8" s="2" customFormat="1" ht="36.75" customHeight="1">
      <c r="A31" s="17" t="s">
        <v>3</v>
      </c>
      <c r="B31" s="15" t="s">
        <v>40</v>
      </c>
      <c r="C31" s="15" t="s">
        <v>5</v>
      </c>
      <c r="D31" s="15" t="s">
        <v>6</v>
      </c>
      <c r="E31" s="16" t="s">
        <v>17</v>
      </c>
      <c r="F31" s="16" t="s">
        <v>39</v>
      </c>
      <c r="G31" s="15" t="s">
        <v>18</v>
      </c>
      <c r="H31" s="15" t="s">
        <v>7</v>
      </c>
    </row>
    <row r="32" spans="1:8" s="2" customFormat="1" ht="25.5" customHeight="1">
      <c r="A32" s="17" t="s">
        <v>34</v>
      </c>
      <c r="B32" s="18" t="s">
        <v>150</v>
      </c>
      <c r="C32" s="15" t="s">
        <v>16</v>
      </c>
      <c r="D32" s="19">
        <v>1</v>
      </c>
      <c r="E32" s="23"/>
      <c r="F32" s="23"/>
      <c r="G32" s="23">
        <f aca="true" t="shared" si="1" ref="G32:G38">E32+F32</f>
        <v>0</v>
      </c>
      <c r="H32" s="19"/>
    </row>
    <row r="33" spans="1:8" s="2" customFormat="1" ht="26.25" customHeight="1">
      <c r="A33" s="17" t="s">
        <v>35</v>
      </c>
      <c r="B33" s="18" t="s">
        <v>151</v>
      </c>
      <c r="C33" s="15" t="s">
        <v>16</v>
      </c>
      <c r="D33" s="19">
        <v>1</v>
      </c>
      <c r="E33" s="23"/>
      <c r="F33" s="23"/>
      <c r="G33" s="23">
        <f t="shared" si="1"/>
        <v>0</v>
      </c>
      <c r="H33" s="19"/>
    </row>
    <row r="34" spans="1:8" s="2" customFormat="1" ht="15">
      <c r="A34" s="17" t="s">
        <v>36</v>
      </c>
      <c r="B34" s="156" t="s">
        <v>129</v>
      </c>
      <c r="C34" s="15"/>
      <c r="D34" s="19"/>
      <c r="E34" s="23"/>
      <c r="F34" s="23"/>
      <c r="G34" s="23">
        <f t="shared" si="1"/>
        <v>0</v>
      </c>
      <c r="H34" s="19"/>
    </row>
    <row r="35" spans="1:8" s="2" customFormat="1" ht="15">
      <c r="A35" s="17" t="s">
        <v>37</v>
      </c>
      <c r="B35" s="18" t="s">
        <v>51</v>
      </c>
      <c r="C35" s="15" t="s">
        <v>16</v>
      </c>
      <c r="D35" s="19">
        <v>1</v>
      </c>
      <c r="E35" s="23"/>
      <c r="F35" s="23"/>
      <c r="G35" s="23">
        <f t="shared" si="1"/>
        <v>0</v>
      </c>
      <c r="H35" s="19"/>
    </row>
    <row r="36" spans="1:8" s="2" customFormat="1" ht="15">
      <c r="A36" s="17" t="s">
        <v>137</v>
      </c>
      <c r="B36" s="18" t="s">
        <v>48</v>
      </c>
      <c r="C36" s="15" t="s">
        <v>9</v>
      </c>
      <c r="D36" s="19">
        <v>1</v>
      </c>
      <c r="E36" s="23">
        <f>E37+E38</f>
        <v>0</v>
      </c>
      <c r="F36" s="23">
        <f>F37+F38</f>
        <v>0</v>
      </c>
      <c r="G36" s="23">
        <f t="shared" si="1"/>
        <v>0</v>
      </c>
      <c r="H36" s="19"/>
    </row>
    <row r="37" spans="1:8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</row>
    <row r="38" spans="1:9" s="4" customFormat="1" ht="15">
      <c r="A38" s="55"/>
      <c r="B38" s="34"/>
      <c r="C38" s="161"/>
      <c r="D38" s="35"/>
      <c r="E38" s="36"/>
      <c r="F38" s="36"/>
      <c r="G38" s="36">
        <f t="shared" si="1"/>
        <v>0</v>
      </c>
      <c r="H38" s="35"/>
      <c r="I38" s="4" t="s">
        <v>95</v>
      </c>
    </row>
    <row r="39" spans="1:8" s="2" customFormat="1" ht="15">
      <c r="A39" s="231" t="s">
        <v>10</v>
      </c>
      <c r="B39" s="232"/>
      <c r="C39" s="203"/>
      <c r="D39" s="41"/>
      <c r="E39" s="171">
        <f>E32+E33+E34+E35+E36</f>
        <v>0</v>
      </c>
      <c r="F39" s="171">
        <f>F32+F33+F34+F35+F36</f>
        <v>0</v>
      </c>
      <c r="G39" s="171">
        <f>G32+G33+G34+G35+G36</f>
        <v>0</v>
      </c>
      <c r="H39" s="41"/>
    </row>
    <row r="40" s="2" customFormat="1" ht="9.75" customHeight="1">
      <c r="A40" s="53"/>
    </row>
    <row r="41" spans="1:8" s="2" customFormat="1" ht="15">
      <c r="A41" s="220" t="s">
        <v>38</v>
      </c>
      <c r="B41" s="220"/>
      <c r="C41" s="220"/>
      <c r="D41" s="220"/>
      <c r="E41" s="220"/>
      <c r="F41" s="220"/>
      <c r="G41" s="220"/>
      <c r="H41" s="220"/>
    </row>
    <row r="42" spans="1:8" s="2" customFormat="1" ht="36" customHeight="1">
      <c r="A42" s="17" t="s">
        <v>3</v>
      </c>
      <c r="B42" s="15" t="s">
        <v>40</v>
      </c>
      <c r="C42" s="15" t="s">
        <v>5</v>
      </c>
      <c r="D42" s="15" t="s">
        <v>6</v>
      </c>
      <c r="E42" s="16" t="s">
        <v>17</v>
      </c>
      <c r="F42" s="16" t="s">
        <v>39</v>
      </c>
      <c r="G42" s="15" t="s">
        <v>18</v>
      </c>
      <c r="H42" s="15" t="s">
        <v>7</v>
      </c>
    </row>
    <row r="43" spans="1:8" s="2" customFormat="1" ht="26.25" customHeight="1">
      <c r="A43" s="17" t="s">
        <v>42</v>
      </c>
      <c r="B43" s="18" t="s">
        <v>153</v>
      </c>
      <c r="C43" s="15" t="s">
        <v>16</v>
      </c>
      <c r="D43" s="15">
        <v>1</v>
      </c>
      <c r="E43" s="25"/>
      <c r="F43" s="25"/>
      <c r="G43" s="26">
        <f>E43+F43</f>
        <v>0</v>
      </c>
      <c r="H43" s="19"/>
    </row>
    <row r="44" spans="1:8" s="2" customFormat="1" ht="15">
      <c r="A44" s="17"/>
      <c r="B44" s="156" t="s">
        <v>129</v>
      </c>
      <c r="C44" s="15"/>
      <c r="D44" s="15"/>
      <c r="E44" s="25"/>
      <c r="F44" s="25"/>
      <c r="G44" s="26">
        <f>E44+F44</f>
        <v>0</v>
      </c>
      <c r="H44" s="19"/>
    </row>
    <row r="45" spans="1:8" s="2" customFormat="1" ht="15">
      <c r="A45" s="17" t="s">
        <v>43</v>
      </c>
      <c r="B45" s="18" t="s">
        <v>48</v>
      </c>
      <c r="C45" s="15"/>
      <c r="D45" s="15"/>
      <c r="E45" s="25"/>
      <c r="F45" s="25"/>
      <c r="G45" s="26">
        <f>E45+F45</f>
        <v>0</v>
      </c>
      <c r="H45" s="19"/>
    </row>
    <row r="46" spans="1:11" s="2" customFormat="1" ht="15">
      <c r="A46" s="17"/>
      <c r="B46" s="18"/>
      <c r="C46" s="15"/>
      <c r="D46" s="19"/>
      <c r="E46" s="23"/>
      <c r="F46" s="26"/>
      <c r="G46" s="37">
        <f>E46+F46</f>
        <v>0</v>
      </c>
      <c r="H46" s="19"/>
      <c r="K46" s="12">
        <f>F28+F39+F48</f>
        <v>0</v>
      </c>
    </row>
    <row r="47" spans="1:8" s="2" customFormat="1" ht="15">
      <c r="A47" s="17"/>
      <c r="B47" s="18"/>
      <c r="C47" s="19"/>
      <c r="D47" s="19"/>
      <c r="E47" s="23"/>
      <c r="F47" s="26"/>
      <c r="G47" s="37">
        <f>E47+F47</f>
        <v>0</v>
      </c>
      <c r="H47" s="19"/>
    </row>
    <row r="48" spans="1:8" s="2" customFormat="1" ht="15">
      <c r="A48" s="228" t="s">
        <v>41</v>
      </c>
      <c r="B48" s="229"/>
      <c r="C48" s="230"/>
      <c r="D48" s="41"/>
      <c r="E48" s="42">
        <f>SUM(E43:E47)</f>
        <v>0</v>
      </c>
      <c r="F48" s="44">
        <f>SUM(F43:F45)</f>
        <v>0</v>
      </c>
      <c r="G48" s="42">
        <f>SUM(G43:G47)</f>
        <v>0</v>
      </c>
      <c r="H48" s="41"/>
    </row>
    <row r="49" spans="1:8" s="2" customFormat="1" ht="7.5" customHeight="1">
      <c r="A49" s="54"/>
      <c r="B49" s="8"/>
      <c r="C49" s="8"/>
      <c r="D49" s="9"/>
      <c r="E49" s="9"/>
      <c r="F49" s="10"/>
      <c r="G49" s="9"/>
      <c r="H49" s="11"/>
    </row>
    <row r="50" spans="1:8" s="7" customFormat="1" ht="15" customHeight="1">
      <c r="A50" s="220" t="s">
        <v>154</v>
      </c>
      <c r="B50" s="220"/>
      <c r="C50" s="220"/>
      <c r="D50" s="220"/>
      <c r="E50" s="220"/>
      <c r="F50" s="220"/>
      <c r="G50" s="220"/>
      <c r="H50" s="58"/>
    </row>
    <row r="51" spans="1:7" s="2" customFormat="1" ht="24.75">
      <c r="A51" s="17" t="s">
        <v>3</v>
      </c>
      <c r="B51" s="15" t="s">
        <v>4</v>
      </c>
      <c r="C51" s="15" t="s">
        <v>5</v>
      </c>
      <c r="D51" s="15" t="s">
        <v>6</v>
      </c>
      <c r="E51" s="16" t="s">
        <v>45</v>
      </c>
      <c r="F51" s="221" t="s">
        <v>46</v>
      </c>
      <c r="G51" s="222"/>
    </row>
    <row r="52" spans="1:7" s="2" customFormat="1" ht="25.5" customHeight="1">
      <c r="A52" s="17" t="s">
        <v>65</v>
      </c>
      <c r="B52" s="27" t="s">
        <v>152</v>
      </c>
      <c r="C52" s="29" t="s">
        <v>16</v>
      </c>
      <c r="D52" s="28">
        <v>1</v>
      </c>
      <c r="E52" s="30"/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16</v>
      </c>
      <c r="D53" s="28">
        <v>1</v>
      </c>
      <c r="E53" s="30"/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16</v>
      </c>
      <c r="D54" s="28">
        <v>1</v>
      </c>
      <c r="E54" s="30"/>
      <c r="F54" s="30"/>
      <c r="G54" s="30"/>
    </row>
    <row r="55" spans="1:7" s="2" customFormat="1" ht="15">
      <c r="A55" s="17" t="s">
        <v>68</v>
      </c>
      <c r="B55" s="28" t="s">
        <v>54</v>
      </c>
      <c r="C55" s="29" t="s">
        <v>16</v>
      </c>
      <c r="D55" s="28">
        <v>1</v>
      </c>
      <c r="E55" s="30"/>
      <c r="F55" s="30"/>
      <c r="G55" s="30"/>
    </row>
    <row r="56" spans="1:7" s="2" customFormat="1" ht="15">
      <c r="A56" s="17" t="s">
        <v>70</v>
      </c>
      <c r="B56" s="18" t="s">
        <v>73</v>
      </c>
      <c r="C56" s="29" t="s">
        <v>16</v>
      </c>
      <c r="D56" s="28">
        <v>1</v>
      </c>
      <c r="E56" s="30"/>
      <c r="F56" s="30"/>
      <c r="G56" s="30"/>
    </row>
    <row r="57" spans="1:7" s="4" customFormat="1" ht="15">
      <c r="A57" s="55"/>
      <c r="B57" s="34" t="s">
        <v>62</v>
      </c>
      <c r="C57" s="29" t="s">
        <v>16</v>
      </c>
      <c r="D57" s="28">
        <v>1</v>
      </c>
      <c r="E57" s="36"/>
      <c r="F57" s="37"/>
      <c r="G57" s="36"/>
    </row>
    <row r="58" spans="1:11" s="4" customFormat="1" ht="15">
      <c r="A58" s="55"/>
      <c r="B58" s="34" t="s">
        <v>63</v>
      </c>
      <c r="C58" s="29" t="s">
        <v>16</v>
      </c>
      <c r="D58" s="28">
        <v>1</v>
      </c>
      <c r="E58" s="36"/>
      <c r="F58" s="37"/>
      <c r="G58" s="36"/>
      <c r="J58" s="38"/>
      <c r="K58" s="39"/>
    </row>
    <row r="59" spans="1:7" s="4" customFormat="1" ht="24.75">
      <c r="A59" s="55"/>
      <c r="B59" s="34" t="s">
        <v>64</v>
      </c>
      <c r="C59" s="29" t="s">
        <v>16</v>
      </c>
      <c r="D59" s="28">
        <v>1</v>
      </c>
      <c r="E59" s="36"/>
      <c r="F59" s="37"/>
      <c r="G59" s="36"/>
    </row>
    <row r="60" spans="1:7" s="4" customFormat="1" ht="15">
      <c r="A60" s="55"/>
      <c r="B60" s="34" t="s">
        <v>69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72</v>
      </c>
      <c r="C62" s="29" t="s">
        <v>16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75</v>
      </c>
      <c r="C63" s="29" t="s">
        <v>16</v>
      </c>
      <c r="D63" s="28">
        <v>1</v>
      </c>
      <c r="E63" s="35"/>
      <c r="F63" s="40"/>
      <c r="G63" s="35"/>
    </row>
    <row r="64" spans="1:7" s="4" customFormat="1" ht="15">
      <c r="A64" s="55"/>
      <c r="B64" s="34" t="s">
        <v>76</v>
      </c>
      <c r="C64" s="29" t="s">
        <v>16</v>
      </c>
      <c r="D64" s="28">
        <v>1</v>
      </c>
      <c r="E64" s="35"/>
      <c r="F64" s="40"/>
      <c r="G64" s="35"/>
    </row>
    <row r="65" spans="1:9" s="4" customFormat="1" ht="15">
      <c r="A65" s="55"/>
      <c r="B65" s="34"/>
      <c r="C65" s="35"/>
      <c r="D65" s="35"/>
      <c r="E65" s="35"/>
      <c r="F65" s="40"/>
      <c r="G65" s="35"/>
      <c r="I65" s="39"/>
    </row>
    <row r="66" spans="1:7" s="2" customFormat="1" ht="15">
      <c r="A66" s="180" t="s">
        <v>155</v>
      </c>
      <c r="B66" s="181"/>
      <c r="C66" s="182"/>
      <c r="D66" s="41"/>
      <c r="E66" s="42">
        <f>E52+E53+E54+E55+E56</f>
        <v>0</v>
      </c>
      <c r="F66" s="43"/>
      <c r="G66" s="41"/>
    </row>
    <row r="67" spans="1:7" s="52" customFormat="1" ht="25.5">
      <c r="A67" s="56" t="s">
        <v>156</v>
      </c>
      <c r="B67" s="47" t="s">
        <v>55</v>
      </c>
      <c r="C67" s="48" t="s">
        <v>16</v>
      </c>
      <c r="D67" s="49">
        <v>1</v>
      </c>
      <c r="E67" s="51"/>
      <c r="F67" s="50"/>
      <c r="G67" s="51"/>
    </row>
    <row r="68" spans="1:7" s="46" customFormat="1" ht="15" customHeight="1">
      <c r="A68" s="223" t="s">
        <v>157</v>
      </c>
      <c r="B68" s="224"/>
      <c r="C68" s="224"/>
      <c r="D68" s="224"/>
      <c r="E68" s="224"/>
      <c r="F68" s="224"/>
      <c r="G68" s="225"/>
    </row>
    <row r="69" spans="1:7" s="2" customFormat="1" ht="33.75" customHeight="1">
      <c r="A69" s="17" t="s">
        <v>3</v>
      </c>
      <c r="B69" s="15" t="s">
        <v>4</v>
      </c>
      <c r="C69" s="15" t="s">
        <v>5</v>
      </c>
      <c r="D69" s="15" t="s">
        <v>6</v>
      </c>
      <c r="E69" s="16" t="s">
        <v>45</v>
      </c>
      <c r="F69" s="221" t="s">
        <v>46</v>
      </c>
      <c r="G69" s="222"/>
    </row>
    <row r="70" spans="1:7" s="2" customFormat="1" ht="25.5" customHeight="1">
      <c r="A70" s="17"/>
      <c r="B70" s="33" t="s">
        <v>56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57</v>
      </c>
      <c r="C71" s="29" t="s">
        <v>16</v>
      </c>
      <c r="D71" s="28">
        <v>1</v>
      </c>
      <c r="E71" s="30"/>
      <c r="F71" s="30"/>
      <c r="G71" s="30"/>
    </row>
    <row r="72" spans="1:9" s="2" customFormat="1" ht="15">
      <c r="A72" s="17"/>
      <c r="B72" s="33" t="s">
        <v>58</v>
      </c>
      <c r="C72" s="29" t="s">
        <v>16</v>
      </c>
      <c r="D72" s="28">
        <v>1</v>
      </c>
      <c r="E72" s="30"/>
      <c r="F72" s="30"/>
      <c r="G72" s="30"/>
      <c r="I72" s="13">
        <f>E72+E71</f>
        <v>0</v>
      </c>
    </row>
    <row r="73" spans="1:7" s="2" customFormat="1" ht="15">
      <c r="A73" s="17"/>
      <c r="B73" s="33" t="s">
        <v>59</v>
      </c>
      <c r="C73" s="29" t="s">
        <v>16</v>
      </c>
      <c r="D73" s="28">
        <v>1</v>
      </c>
      <c r="E73" s="30"/>
      <c r="F73" s="30"/>
      <c r="G73" s="30"/>
    </row>
    <row r="74" spans="1:9" s="2" customFormat="1" ht="15">
      <c r="A74" s="17"/>
      <c r="B74" s="33" t="s">
        <v>60</v>
      </c>
      <c r="C74" s="29" t="s">
        <v>16</v>
      </c>
      <c r="D74" s="19">
        <v>1</v>
      </c>
      <c r="E74" s="30"/>
      <c r="F74" s="26"/>
      <c r="G74" s="23"/>
      <c r="I74" s="13">
        <f>E73+E74</f>
        <v>0</v>
      </c>
    </row>
    <row r="75" spans="1:7" s="2" customFormat="1" ht="15">
      <c r="A75" s="17"/>
      <c r="B75" s="18"/>
      <c r="C75" s="29"/>
      <c r="D75" s="28"/>
      <c r="E75" s="30"/>
      <c r="F75" s="30"/>
      <c r="G75" s="30"/>
    </row>
    <row r="76" spans="1:7" s="2" customFormat="1" ht="15">
      <c r="A76" s="216" t="s">
        <v>61</v>
      </c>
      <c r="B76" s="217"/>
      <c r="C76" s="218"/>
      <c r="D76" s="19"/>
      <c r="E76" s="30">
        <f>SUM(E70:E75)</f>
        <v>0</v>
      </c>
      <c r="F76" s="21"/>
      <c r="G76" s="19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pans="1:7" s="2" customFormat="1" ht="15">
      <c r="A80" s="54"/>
      <c r="B80" s="8"/>
      <c r="C80" s="8"/>
      <c r="D80" s="31"/>
      <c r="E80" s="45"/>
      <c r="F80" s="32"/>
      <c r="G80" s="31"/>
    </row>
    <row r="81" s="2" customFormat="1" ht="15">
      <c r="A81" s="53"/>
    </row>
    <row r="82" spans="1:7" s="2" customFormat="1" ht="15">
      <c r="A82" s="219" t="s">
        <v>11</v>
      </c>
      <c r="B82" s="219"/>
      <c r="C82" s="219"/>
      <c r="D82" s="219"/>
      <c r="E82" s="226">
        <f>G28+G39+G48+E66+E67+E76</f>
        <v>0</v>
      </c>
      <c r="F82" s="226"/>
      <c r="G82" s="226"/>
    </row>
    <row r="83" spans="1:7" s="2" customFormat="1" ht="15">
      <c r="A83" s="53"/>
      <c r="G83" s="13"/>
    </row>
    <row r="84" s="2" customFormat="1" ht="15">
      <c r="A84" s="53"/>
    </row>
    <row r="85" s="2" customFormat="1" ht="15">
      <c r="A85" s="53"/>
    </row>
    <row r="86" s="2" customFormat="1" ht="15">
      <c r="A86" s="53"/>
    </row>
    <row r="87" spans="1:5" s="2" customFormat="1" ht="15">
      <c r="A87" s="227" t="s">
        <v>47</v>
      </c>
      <c r="B87" s="227"/>
      <c r="E87" s="2" t="s">
        <v>12</v>
      </c>
    </row>
    <row r="88" spans="1:5" s="2" customFormat="1" ht="15">
      <c r="A88" s="227" t="s">
        <v>1</v>
      </c>
      <c r="B88" s="227"/>
      <c r="E88" s="2" t="s">
        <v>165</v>
      </c>
    </row>
    <row r="89" spans="1:5" s="2" customFormat="1" ht="30" customHeight="1">
      <c r="A89" s="215" t="s">
        <v>71</v>
      </c>
      <c r="B89" s="215"/>
      <c r="C89" s="22"/>
      <c r="E89" s="2" t="s">
        <v>15</v>
      </c>
    </row>
    <row r="90" s="2" customFormat="1" ht="15">
      <c r="A90" s="53"/>
    </row>
    <row r="91" s="2" customFormat="1" ht="15">
      <c r="A91" s="53"/>
    </row>
    <row r="92" s="2" customFormat="1" ht="15">
      <c r="A92" s="53"/>
    </row>
    <row r="93" s="2" customFormat="1" ht="15">
      <c r="A93" s="53"/>
    </row>
  </sheetData>
  <sheetProtection/>
  <mergeCells count="17">
    <mergeCell ref="A39:C39"/>
    <mergeCell ref="F51:G51"/>
    <mergeCell ref="A68:G68"/>
    <mergeCell ref="A87:B87"/>
    <mergeCell ref="A41:H41"/>
    <mergeCell ref="A48:C48"/>
    <mergeCell ref="A50:G50"/>
    <mergeCell ref="A1:B1"/>
    <mergeCell ref="A3:E3"/>
    <mergeCell ref="A5:H5"/>
    <mergeCell ref="A6:H6"/>
    <mergeCell ref="A89:B89"/>
    <mergeCell ref="A76:C76"/>
    <mergeCell ref="A82:D82"/>
    <mergeCell ref="F69:G69"/>
    <mergeCell ref="E82:G82"/>
    <mergeCell ref="A88:B88"/>
  </mergeCells>
  <printOptions/>
  <pageMargins left="0.42" right="0.3" top="0.29" bottom="0.5" header="0.24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E67" sqref="E67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8.28125" style="14" customWidth="1"/>
    <col min="9" max="16384" width="9.140625" style="14" customWidth="1"/>
  </cols>
  <sheetData>
    <row r="1" spans="1:5" s="2" customFormat="1" ht="15">
      <c r="A1" s="204" t="s">
        <v>0</v>
      </c>
      <c r="B1" s="204"/>
      <c r="C1" s="1" t="s">
        <v>165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4" t="s">
        <v>8</v>
      </c>
      <c r="B3" s="204"/>
      <c r="C3" s="204"/>
      <c r="D3" s="204"/>
      <c r="E3" s="204"/>
      <c r="F3" s="3" t="s">
        <v>158</v>
      </c>
      <c r="G3" s="1"/>
    </row>
    <row r="4" s="2" customFormat="1" ht="15">
      <c r="A4" s="53"/>
    </row>
    <row r="5" spans="1:8" s="2" customFormat="1" ht="18.75">
      <c r="A5" s="205" t="s">
        <v>205</v>
      </c>
      <c r="B5" s="205"/>
      <c r="C5" s="205"/>
      <c r="D5" s="205"/>
      <c r="E5" s="205"/>
      <c r="F5" s="205"/>
      <c r="G5" s="205"/>
      <c r="H5" s="205"/>
    </row>
    <row r="6" spans="1:8" s="2" customFormat="1" ht="15">
      <c r="A6" s="215" t="s">
        <v>149</v>
      </c>
      <c r="B6" s="215"/>
      <c r="C6" s="215"/>
      <c r="D6" s="215"/>
      <c r="E6" s="215"/>
      <c r="F6" s="215"/>
      <c r="G6" s="215"/>
      <c r="H6" s="215"/>
    </row>
    <row r="7" spans="1:6" s="2" customFormat="1" ht="15">
      <c r="A7" s="53"/>
      <c r="B7" s="4" t="s">
        <v>2</v>
      </c>
      <c r="C7" s="4"/>
      <c r="D7" s="5" t="s">
        <v>171</v>
      </c>
      <c r="E7" s="4"/>
      <c r="F7" s="4"/>
    </row>
    <row r="8" s="2" customFormat="1" ht="7.5" customHeight="1">
      <c r="A8" s="53"/>
    </row>
    <row r="9" spans="1:9" s="2" customFormat="1" ht="15">
      <c r="A9" s="149" t="s">
        <v>23</v>
      </c>
      <c r="B9" s="149"/>
      <c r="C9" s="149"/>
      <c r="D9" s="149"/>
      <c r="E9" s="149"/>
      <c r="F9" s="149"/>
      <c r="G9" s="149"/>
      <c r="H9" s="7">
        <v>12565.6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/>
      <c r="F11" s="23"/>
      <c r="G11" s="23">
        <f aca="true" t="shared" si="0" ref="G11:G23">E11+F11</f>
        <v>0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/>
      <c r="F12" s="23"/>
      <c r="G12" s="23">
        <f t="shared" si="0"/>
        <v>0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6" t="s">
        <v>129</v>
      </c>
      <c r="C14" s="159"/>
      <c r="D14" s="159"/>
      <c r="E14" s="159"/>
      <c r="F14" s="159"/>
      <c r="G14" s="23">
        <f t="shared" si="0"/>
        <v>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/>
      <c r="F15" s="23"/>
      <c r="G15" s="23">
        <f t="shared" si="0"/>
        <v>0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/>
      <c r="F16" s="23"/>
      <c r="G16" s="23">
        <f t="shared" si="0"/>
        <v>0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/>
      <c r="F17" s="23"/>
      <c r="G17" s="23">
        <f t="shared" si="0"/>
        <v>0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134</v>
      </c>
      <c r="B19" s="18" t="s">
        <v>50</v>
      </c>
      <c r="C19" s="15" t="s">
        <v>16</v>
      </c>
      <c r="D19" s="19">
        <v>1</v>
      </c>
      <c r="E19" s="23"/>
      <c r="F19" s="23"/>
      <c r="G19" s="23">
        <f t="shared" si="0"/>
        <v>0</v>
      </c>
      <c r="H19" s="19"/>
    </row>
    <row r="20" spans="1:8" s="2" customFormat="1" ht="15">
      <c r="A20" s="17" t="s">
        <v>135</v>
      </c>
      <c r="B20" s="33" t="s">
        <v>103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186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187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188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10" s="2" customFormat="1" ht="15">
      <c r="A24" s="17" t="s">
        <v>189</v>
      </c>
      <c r="B24" s="18" t="s">
        <v>48</v>
      </c>
      <c r="C24" s="15"/>
      <c r="D24" s="19"/>
      <c r="E24" s="23">
        <f>E25+E26+E27</f>
        <v>0</v>
      </c>
      <c r="F24" s="23">
        <f>F25+F26</f>
        <v>0</v>
      </c>
      <c r="G24" s="23">
        <f>G25+G26+G27</f>
        <v>0</v>
      </c>
      <c r="H24" s="19"/>
      <c r="J24" s="2" t="s">
        <v>95</v>
      </c>
    </row>
    <row r="25" spans="1:8" s="4" customFormat="1" ht="15">
      <c r="A25" s="55"/>
      <c r="B25" s="34"/>
      <c r="C25" s="161"/>
      <c r="D25" s="35"/>
      <c r="E25" s="36"/>
      <c r="F25" s="36"/>
      <c r="G25" s="36"/>
      <c r="H25" s="35"/>
    </row>
    <row r="26" spans="1:8" s="4" customFormat="1" ht="15">
      <c r="A26" s="55"/>
      <c r="B26" s="34"/>
      <c r="C26" s="161"/>
      <c r="D26" s="35"/>
      <c r="E26" s="162"/>
      <c r="F26" s="36"/>
      <c r="G26" s="36"/>
      <c r="H26" s="35"/>
    </row>
    <row r="27" spans="1:8" s="4" customFormat="1" ht="15">
      <c r="A27" s="193"/>
      <c r="B27" s="194"/>
      <c r="C27" s="195"/>
      <c r="D27" s="35"/>
      <c r="E27" s="162"/>
      <c r="F27" s="36"/>
      <c r="G27" s="36"/>
      <c r="H27" s="35"/>
    </row>
    <row r="28" spans="1:8" s="2" customFormat="1" ht="17.25" customHeight="1">
      <c r="A28" s="61" t="s">
        <v>33</v>
      </c>
      <c r="B28" s="62"/>
      <c r="C28" s="170"/>
      <c r="D28" s="135"/>
      <c r="E28" s="171">
        <f>E11+E12+E13+E14+E15+E16+E17+E18+E19+E24+E20+E21+E22+E23</f>
        <v>0</v>
      </c>
      <c r="F28" s="171">
        <f>F11+F12+F13+F14+F15+F16+F17+F18+F19+F24+F20+F21+F22+F23</f>
        <v>0</v>
      </c>
      <c r="G28" s="171">
        <f>G11+G12+G13+G14+G15+G16+G17+G18+G19+G24+G20+G21+G22+G23</f>
        <v>0</v>
      </c>
      <c r="H28" s="41"/>
    </row>
    <row r="29" s="2" customFormat="1" ht="8.25" customHeight="1">
      <c r="A29" s="53"/>
    </row>
    <row r="30" spans="1:8" s="2" customFormat="1" ht="15">
      <c r="A30" s="149" t="s">
        <v>32</v>
      </c>
      <c r="B30" s="149"/>
      <c r="C30" s="149"/>
      <c r="D30" s="149"/>
      <c r="E30" s="149"/>
      <c r="F30" s="149"/>
      <c r="G30" s="149"/>
      <c r="H30" s="149"/>
    </row>
    <row r="31" spans="1:8" s="2" customFormat="1" ht="36.75" customHeight="1">
      <c r="A31" s="17" t="s">
        <v>3</v>
      </c>
      <c r="B31" s="15" t="s">
        <v>40</v>
      </c>
      <c r="C31" s="15" t="s">
        <v>5</v>
      </c>
      <c r="D31" s="15" t="s">
        <v>6</v>
      </c>
      <c r="E31" s="16" t="s">
        <v>17</v>
      </c>
      <c r="F31" s="16" t="s">
        <v>39</v>
      </c>
      <c r="G31" s="15" t="s">
        <v>18</v>
      </c>
      <c r="H31" s="15" t="s">
        <v>7</v>
      </c>
    </row>
    <row r="32" spans="1:8" s="2" customFormat="1" ht="25.5" customHeight="1">
      <c r="A32" s="17" t="s">
        <v>34</v>
      </c>
      <c r="B32" s="18" t="s">
        <v>150</v>
      </c>
      <c r="C32" s="15" t="s">
        <v>16</v>
      </c>
      <c r="D32" s="19">
        <v>1</v>
      </c>
      <c r="E32" s="23"/>
      <c r="F32" s="23"/>
      <c r="G32" s="23">
        <f aca="true" t="shared" si="1" ref="G32:G38">E32+F32</f>
        <v>0</v>
      </c>
      <c r="H32" s="19"/>
    </row>
    <row r="33" spans="1:8" s="2" customFormat="1" ht="26.25" customHeight="1">
      <c r="A33" s="17" t="s">
        <v>35</v>
      </c>
      <c r="B33" s="18" t="s">
        <v>151</v>
      </c>
      <c r="C33" s="15" t="s">
        <v>16</v>
      </c>
      <c r="D33" s="19">
        <v>1</v>
      </c>
      <c r="E33" s="23"/>
      <c r="F33" s="23"/>
      <c r="G33" s="23">
        <f t="shared" si="1"/>
        <v>0</v>
      </c>
      <c r="H33" s="19"/>
    </row>
    <row r="34" spans="1:8" s="2" customFormat="1" ht="15">
      <c r="A34" s="17" t="s">
        <v>36</v>
      </c>
      <c r="B34" s="156" t="s">
        <v>129</v>
      </c>
      <c r="C34" s="15"/>
      <c r="D34" s="19"/>
      <c r="E34" s="23"/>
      <c r="F34" s="23"/>
      <c r="G34" s="23">
        <f t="shared" si="1"/>
        <v>0</v>
      </c>
      <c r="H34" s="19"/>
    </row>
    <row r="35" spans="1:8" s="2" customFormat="1" ht="15">
      <c r="A35" s="17" t="s">
        <v>37</v>
      </c>
      <c r="B35" s="18" t="s">
        <v>51</v>
      </c>
      <c r="C35" s="15" t="s">
        <v>16</v>
      </c>
      <c r="D35" s="19">
        <v>1</v>
      </c>
      <c r="E35" s="23"/>
      <c r="F35" s="23"/>
      <c r="G35" s="23">
        <f t="shared" si="1"/>
        <v>0</v>
      </c>
      <c r="H35" s="19"/>
    </row>
    <row r="36" spans="1:8" s="2" customFormat="1" ht="15">
      <c r="A36" s="17" t="s">
        <v>137</v>
      </c>
      <c r="B36" s="18" t="s">
        <v>48</v>
      </c>
      <c r="C36" s="15" t="s">
        <v>9</v>
      </c>
      <c r="D36" s="19">
        <v>1</v>
      </c>
      <c r="E36" s="23">
        <f>E37+E38</f>
        <v>0</v>
      </c>
      <c r="F36" s="23">
        <f>F37+F38</f>
        <v>0</v>
      </c>
      <c r="G36" s="23">
        <f t="shared" si="1"/>
        <v>0</v>
      </c>
      <c r="H36" s="19"/>
    </row>
    <row r="37" spans="1:8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</row>
    <row r="38" spans="1:9" s="4" customFormat="1" ht="15">
      <c r="A38" s="55"/>
      <c r="B38" s="34"/>
      <c r="C38" s="161"/>
      <c r="D38" s="35"/>
      <c r="E38" s="36"/>
      <c r="F38" s="36"/>
      <c r="G38" s="36">
        <f t="shared" si="1"/>
        <v>0</v>
      </c>
      <c r="H38" s="35"/>
      <c r="I38" s="4" t="s">
        <v>95</v>
      </c>
    </row>
    <row r="39" spans="1:8" s="2" customFormat="1" ht="15">
      <c r="A39" s="231" t="s">
        <v>10</v>
      </c>
      <c r="B39" s="232"/>
      <c r="C39" s="203"/>
      <c r="D39" s="41"/>
      <c r="E39" s="171">
        <f>E32+E33+E34+E35+E36</f>
        <v>0</v>
      </c>
      <c r="F39" s="171">
        <f>F32+F33+F34+F35+F36</f>
        <v>0</v>
      </c>
      <c r="G39" s="171">
        <f>G32+G33+G34+G35+G36</f>
        <v>0</v>
      </c>
      <c r="H39" s="41"/>
    </row>
    <row r="40" s="2" customFormat="1" ht="9.75" customHeight="1">
      <c r="A40" s="53"/>
    </row>
    <row r="41" spans="1:8" s="2" customFormat="1" ht="15">
      <c r="A41" s="220" t="s">
        <v>38</v>
      </c>
      <c r="B41" s="220"/>
      <c r="C41" s="220"/>
      <c r="D41" s="220"/>
      <c r="E41" s="220"/>
      <c r="F41" s="220"/>
      <c r="G41" s="220"/>
      <c r="H41" s="220"/>
    </row>
    <row r="42" spans="1:8" s="2" customFormat="1" ht="36" customHeight="1">
      <c r="A42" s="17" t="s">
        <v>3</v>
      </c>
      <c r="B42" s="15" t="s">
        <v>40</v>
      </c>
      <c r="C42" s="15" t="s">
        <v>5</v>
      </c>
      <c r="D42" s="15" t="s">
        <v>6</v>
      </c>
      <c r="E42" s="16" t="s">
        <v>17</v>
      </c>
      <c r="F42" s="16" t="s">
        <v>39</v>
      </c>
      <c r="G42" s="15" t="s">
        <v>18</v>
      </c>
      <c r="H42" s="15" t="s">
        <v>7</v>
      </c>
    </row>
    <row r="43" spans="1:8" s="2" customFormat="1" ht="26.25" customHeight="1">
      <c r="A43" s="17" t="s">
        <v>42</v>
      </c>
      <c r="B43" s="18" t="s">
        <v>153</v>
      </c>
      <c r="C43" s="15" t="s">
        <v>16</v>
      </c>
      <c r="D43" s="15">
        <v>1</v>
      </c>
      <c r="E43" s="25"/>
      <c r="F43" s="25"/>
      <c r="G43" s="26">
        <f>E43+F43</f>
        <v>0</v>
      </c>
      <c r="H43" s="19"/>
    </row>
    <row r="44" spans="1:8" s="2" customFormat="1" ht="15">
      <c r="A44" s="17"/>
      <c r="B44" s="156" t="s">
        <v>129</v>
      </c>
      <c r="C44" s="15"/>
      <c r="D44" s="15"/>
      <c r="E44" s="25"/>
      <c r="F44" s="25"/>
      <c r="G44" s="26">
        <f>E44+F44</f>
        <v>0</v>
      </c>
      <c r="H44" s="19"/>
    </row>
    <row r="45" spans="1:8" s="2" customFormat="1" ht="15">
      <c r="A45" s="17" t="s">
        <v>43</v>
      </c>
      <c r="B45" s="18" t="s">
        <v>48</v>
      </c>
      <c r="C45" s="15"/>
      <c r="D45" s="15"/>
      <c r="E45" s="25"/>
      <c r="F45" s="25"/>
      <c r="G45" s="26">
        <f>E45+F45</f>
        <v>0</v>
      </c>
      <c r="H45" s="19"/>
    </row>
    <row r="46" spans="1:11" s="2" customFormat="1" ht="15">
      <c r="A46" s="17"/>
      <c r="B46" s="18"/>
      <c r="C46" s="15"/>
      <c r="D46" s="19"/>
      <c r="E46" s="23"/>
      <c r="F46" s="26"/>
      <c r="G46" s="37">
        <f>E46+F46</f>
        <v>0</v>
      </c>
      <c r="H46" s="19"/>
      <c r="K46" s="12">
        <f>F28+F39+F48</f>
        <v>0</v>
      </c>
    </row>
    <row r="47" spans="1:8" s="2" customFormat="1" ht="15">
      <c r="A47" s="17"/>
      <c r="B47" s="18"/>
      <c r="C47" s="19"/>
      <c r="D47" s="19"/>
      <c r="E47" s="23"/>
      <c r="F47" s="26"/>
      <c r="G47" s="37">
        <f>E47+F47</f>
        <v>0</v>
      </c>
      <c r="H47" s="19"/>
    </row>
    <row r="48" spans="1:8" s="2" customFormat="1" ht="15">
      <c r="A48" s="228" t="s">
        <v>41</v>
      </c>
      <c r="B48" s="229"/>
      <c r="C48" s="230"/>
      <c r="D48" s="41"/>
      <c r="E48" s="42">
        <f>SUM(E43:E47)</f>
        <v>0</v>
      </c>
      <c r="F48" s="44">
        <f>SUM(F43:F45)</f>
        <v>0</v>
      </c>
      <c r="G48" s="42">
        <f>SUM(G43:G47)</f>
        <v>0</v>
      </c>
      <c r="H48" s="41"/>
    </row>
    <row r="49" spans="1:8" s="2" customFormat="1" ht="7.5" customHeight="1">
      <c r="A49" s="54"/>
      <c r="B49" s="8"/>
      <c r="C49" s="8"/>
      <c r="D49" s="9"/>
      <c r="E49" s="9"/>
      <c r="F49" s="10"/>
      <c r="G49" s="9"/>
      <c r="H49" s="11"/>
    </row>
    <row r="50" spans="1:8" s="7" customFormat="1" ht="15" customHeight="1">
      <c r="A50" s="220" t="s">
        <v>154</v>
      </c>
      <c r="B50" s="220"/>
      <c r="C50" s="220"/>
      <c r="D50" s="220"/>
      <c r="E50" s="220"/>
      <c r="F50" s="220"/>
      <c r="G50" s="220"/>
      <c r="H50" s="58"/>
    </row>
    <row r="51" spans="1:7" s="2" customFormat="1" ht="24.75">
      <c r="A51" s="17" t="s">
        <v>3</v>
      </c>
      <c r="B51" s="15" t="s">
        <v>4</v>
      </c>
      <c r="C51" s="15" t="s">
        <v>5</v>
      </c>
      <c r="D51" s="15" t="s">
        <v>6</v>
      </c>
      <c r="E51" s="16" t="s">
        <v>45</v>
      </c>
      <c r="F51" s="221" t="s">
        <v>46</v>
      </c>
      <c r="G51" s="222"/>
    </row>
    <row r="52" spans="1:7" s="2" customFormat="1" ht="25.5" customHeight="1">
      <c r="A52" s="17" t="s">
        <v>65</v>
      </c>
      <c r="B52" s="27" t="s">
        <v>152</v>
      </c>
      <c r="C52" s="29" t="s">
        <v>16</v>
      </c>
      <c r="D52" s="28">
        <v>1</v>
      </c>
      <c r="E52" s="30"/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16</v>
      </c>
      <c r="D53" s="28">
        <v>1</v>
      </c>
      <c r="E53" s="30"/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16</v>
      </c>
      <c r="D54" s="28">
        <v>1</v>
      </c>
      <c r="E54" s="30"/>
      <c r="F54" s="30"/>
      <c r="G54" s="30"/>
    </row>
    <row r="55" spans="1:7" s="2" customFormat="1" ht="15">
      <c r="A55" s="17" t="s">
        <v>68</v>
      </c>
      <c r="B55" s="28" t="s">
        <v>54</v>
      </c>
      <c r="C55" s="29" t="s">
        <v>16</v>
      </c>
      <c r="D55" s="28">
        <v>1</v>
      </c>
      <c r="E55" s="30"/>
      <c r="F55" s="30"/>
      <c r="G55" s="30"/>
    </row>
    <row r="56" spans="1:7" s="2" customFormat="1" ht="15">
      <c r="A56" s="17" t="s">
        <v>70</v>
      </c>
      <c r="B56" s="18" t="s">
        <v>73</v>
      </c>
      <c r="C56" s="29" t="s">
        <v>16</v>
      </c>
      <c r="D56" s="28">
        <v>1</v>
      </c>
      <c r="E56" s="30"/>
      <c r="F56" s="30"/>
      <c r="G56" s="30"/>
    </row>
    <row r="57" spans="1:7" s="4" customFormat="1" ht="15">
      <c r="A57" s="55"/>
      <c r="B57" s="34" t="s">
        <v>62</v>
      </c>
      <c r="C57" s="29" t="s">
        <v>16</v>
      </c>
      <c r="D57" s="28">
        <v>1</v>
      </c>
      <c r="E57" s="36"/>
      <c r="F57" s="37"/>
      <c r="G57" s="36"/>
    </row>
    <row r="58" spans="1:11" s="4" customFormat="1" ht="15">
      <c r="A58" s="55"/>
      <c r="B58" s="34" t="s">
        <v>63</v>
      </c>
      <c r="C58" s="29" t="s">
        <v>16</v>
      </c>
      <c r="D58" s="28">
        <v>1</v>
      </c>
      <c r="E58" s="36"/>
      <c r="F58" s="37"/>
      <c r="G58" s="36"/>
      <c r="J58" s="38"/>
      <c r="K58" s="39"/>
    </row>
    <row r="59" spans="1:7" s="4" customFormat="1" ht="24.75">
      <c r="A59" s="55"/>
      <c r="B59" s="34" t="s">
        <v>64</v>
      </c>
      <c r="C59" s="29" t="s">
        <v>16</v>
      </c>
      <c r="D59" s="28">
        <v>1</v>
      </c>
      <c r="E59" s="36"/>
      <c r="F59" s="37"/>
      <c r="G59" s="36"/>
    </row>
    <row r="60" spans="1:7" s="4" customFormat="1" ht="15">
      <c r="A60" s="55"/>
      <c r="B60" s="34" t="s">
        <v>69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72</v>
      </c>
      <c r="C62" s="29" t="s">
        <v>16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75</v>
      </c>
      <c r="C63" s="29" t="s">
        <v>16</v>
      </c>
      <c r="D63" s="28">
        <v>1</v>
      </c>
      <c r="E63" s="35"/>
      <c r="F63" s="40"/>
      <c r="G63" s="35"/>
    </row>
    <row r="64" spans="1:7" s="4" customFormat="1" ht="15">
      <c r="A64" s="55"/>
      <c r="B64" s="34" t="s">
        <v>76</v>
      </c>
      <c r="C64" s="29" t="s">
        <v>16</v>
      </c>
      <c r="D64" s="28">
        <v>1</v>
      </c>
      <c r="E64" s="35"/>
      <c r="F64" s="40"/>
      <c r="G64" s="35"/>
    </row>
    <row r="65" spans="1:9" s="4" customFormat="1" ht="15">
      <c r="A65" s="55"/>
      <c r="B65" s="34"/>
      <c r="C65" s="35"/>
      <c r="D65" s="35"/>
      <c r="E65" s="35"/>
      <c r="F65" s="40"/>
      <c r="G65" s="35"/>
      <c r="I65" s="39"/>
    </row>
    <row r="66" spans="1:7" s="2" customFormat="1" ht="15">
      <c r="A66" s="180" t="s">
        <v>155</v>
      </c>
      <c r="B66" s="181"/>
      <c r="C66" s="182"/>
      <c r="D66" s="41"/>
      <c r="E66" s="42">
        <f>E52+E53+E54+E55+E56</f>
        <v>0</v>
      </c>
      <c r="F66" s="43"/>
      <c r="G66" s="41"/>
    </row>
    <row r="67" spans="1:7" s="52" customFormat="1" ht="25.5">
      <c r="A67" s="56" t="s">
        <v>156</v>
      </c>
      <c r="B67" s="47" t="s">
        <v>55</v>
      </c>
      <c r="C67" s="48" t="s">
        <v>16</v>
      </c>
      <c r="D67" s="49">
        <v>1</v>
      </c>
      <c r="E67" s="51"/>
      <c r="F67" s="50"/>
      <c r="G67" s="51"/>
    </row>
    <row r="68" spans="1:7" s="46" customFormat="1" ht="15" customHeight="1">
      <c r="A68" s="223" t="s">
        <v>157</v>
      </c>
      <c r="B68" s="224"/>
      <c r="C68" s="224"/>
      <c r="D68" s="224"/>
      <c r="E68" s="224"/>
      <c r="F68" s="224"/>
      <c r="G68" s="225"/>
    </row>
    <row r="69" spans="1:7" s="2" customFormat="1" ht="33.75" customHeight="1">
      <c r="A69" s="17" t="s">
        <v>3</v>
      </c>
      <c r="B69" s="15" t="s">
        <v>4</v>
      </c>
      <c r="C69" s="15" t="s">
        <v>5</v>
      </c>
      <c r="D69" s="15" t="s">
        <v>6</v>
      </c>
      <c r="E69" s="16" t="s">
        <v>45</v>
      </c>
      <c r="F69" s="221" t="s">
        <v>46</v>
      </c>
      <c r="G69" s="222"/>
    </row>
    <row r="70" spans="1:7" s="2" customFormat="1" ht="25.5" customHeight="1">
      <c r="A70" s="17"/>
      <c r="B70" s="33" t="s">
        <v>56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57</v>
      </c>
      <c r="C71" s="29" t="s">
        <v>16</v>
      </c>
      <c r="D71" s="28">
        <v>1</v>
      </c>
      <c r="E71" s="30"/>
      <c r="F71" s="30"/>
      <c r="G71" s="30"/>
    </row>
    <row r="72" spans="1:9" s="2" customFormat="1" ht="15">
      <c r="A72" s="17"/>
      <c r="B72" s="33" t="s">
        <v>58</v>
      </c>
      <c r="C72" s="29" t="s">
        <v>16</v>
      </c>
      <c r="D72" s="28">
        <v>1</v>
      </c>
      <c r="E72" s="30"/>
      <c r="F72" s="30"/>
      <c r="G72" s="30"/>
      <c r="I72" s="13"/>
    </row>
    <row r="73" spans="1:7" s="2" customFormat="1" ht="15">
      <c r="A73" s="17"/>
      <c r="B73" s="33" t="s">
        <v>59</v>
      </c>
      <c r="C73" s="29" t="s">
        <v>16</v>
      </c>
      <c r="D73" s="28">
        <v>1</v>
      </c>
      <c r="E73" s="30"/>
      <c r="F73" s="30"/>
      <c r="G73" s="30"/>
    </row>
    <row r="74" spans="1:9" s="2" customFormat="1" ht="15">
      <c r="A74" s="17"/>
      <c r="B74" s="33" t="s">
        <v>60</v>
      </c>
      <c r="C74" s="29" t="s">
        <v>16</v>
      </c>
      <c r="D74" s="19">
        <v>1</v>
      </c>
      <c r="E74" s="30"/>
      <c r="F74" s="26"/>
      <c r="G74" s="23"/>
      <c r="I74" s="13">
        <f>E73+E74</f>
        <v>0</v>
      </c>
    </row>
    <row r="75" spans="1:7" s="2" customFormat="1" ht="15">
      <c r="A75" s="17"/>
      <c r="B75" s="18"/>
      <c r="C75" s="29"/>
      <c r="D75" s="28"/>
      <c r="E75" s="30"/>
      <c r="F75" s="30"/>
      <c r="G75" s="30"/>
    </row>
    <row r="76" spans="1:7" s="2" customFormat="1" ht="15">
      <c r="A76" s="216" t="s">
        <v>61</v>
      </c>
      <c r="B76" s="217"/>
      <c r="C76" s="218"/>
      <c r="D76" s="19"/>
      <c r="E76" s="30">
        <f>SUM(E70:E75)</f>
        <v>0</v>
      </c>
      <c r="F76" s="21"/>
      <c r="G76" s="19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pans="1:7" s="2" customFormat="1" ht="15">
      <c r="A80" s="54"/>
      <c r="B80" s="8"/>
      <c r="C80" s="8"/>
      <c r="D80" s="31"/>
      <c r="E80" s="45"/>
      <c r="F80" s="32"/>
      <c r="G80" s="31"/>
    </row>
    <row r="81" s="2" customFormat="1" ht="15">
      <c r="A81" s="53"/>
    </row>
    <row r="82" spans="1:7" s="2" customFormat="1" ht="15">
      <c r="A82" s="219" t="s">
        <v>11</v>
      </c>
      <c r="B82" s="219"/>
      <c r="C82" s="219"/>
      <c r="D82" s="219"/>
      <c r="E82" s="226">
        <f>G28+G39+G48+E66+E67+E76</f>
        <v>0</v>
      </c>
      <c r="F82" s="226"/>
      <c r="G82" s="226"/>
    </row>
    <row r="83" spans="1:7" s="2" customFormat="1" ht="15">
      <c r="A83" s="53"/>
      <c r="G83" s="13"/>
    </row>
    <row r="84" s="2" customFormat="1" ht="15">
      <c r="A84" s="53"/>
    </row>
    <row r="85" s="2" customFormat="1" ht="15">
      <c r="A85" s="53"/>
    </row>
    <row r="86" s="2" customFormat="1" ht="15">
      <c r="A86" s="53"/>
    </row>
    <row r="87" spans="1:5" s="2" customFormat="1" ht="15">
      <c r="A87" s="227" t="s">
        <v>47</v>
      </c>
      <c r="B87" s="227"/>
      <c r="E87" s="2" t="s">
        <v>12</v>
      </c>
    </row>
    <row r="88" spans="1:5" s="2" customFormat="1" ht="15">
      <c r="A88" s="227" t="s">
        <v>1</v>
      </c>
      <c r="B88" s="227"/>
      <c r="E88" s="2" t="s">
        <v>165</v>
      </c>
    </row>
    <row r="89" spans="1:5" s="2" customFormat="1" ht="30" customHeight="1">
      <c r="A89" s="215" t="s">
        <v>71</v>
      </c>
      <c r="B89" s="215"/>
      <c r="C89" s="22"/>
      <c r="E89" s="2" t="s">
        <v>15</v>
      </c>
    </row>
    <row r="90" s="2" customFormat="1" ht="15">
      <c r="A90" s="53"/>
    </row>
    <row r="91" s="2" customFormat="1" ht="15">
      <c r="A91" s="53"/>
    </row>
    <row r="92" s="2" customFormat="1" ht="15">
      <c r="A92" s="53"/>
    </row>
    <row r="93" s="2" customFormat="1" ht="15">
      <c r="A93" s="53"/>
    </row>
  </sheetData>
  <sheetProtection/>
  <mergeCells count="17">
    <mergeCell ref="A89:B89"/>
    <mergeCell ref="F69:G69"/>
    <mergeCell ref="A76:C76"/>
    <mergeCell ref="A82:D82"/>
    <mergeCell ref="E82:G82"/>
    <mergeCell ref="A87:B87"/>
    <mergeCell ref="A88:B88"/>
    <mergeCell ref="A48:C48"/>
    <mergeCell ref="A50:G50"/>
    <mergeCell ref="F51:G51"/>
    <mergeCell ref="A68:G68"/>
    <mergeCell ref="A39:C39"/>
    <mergeCell ref="A41:H41"/>
    <mergeCell ref="A1:B1"/>
    <mergeCell ref="A3:E3"/>
    <mergeCell ref="A5:H5"/>
    <mergeCell ref="A6:H6"/>
  </mergeCells>
  <printOptions/>
  <pageMargins left="0.33" right="0.2362204724409449" top="0.36" bottom="0.5118110236220472" header="0.29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55">
      <selection activeCell="E15" sqref="E15:E20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8.28125" style="14" customWidth="1"/>
    <col min="9" max="16384" width="9.140625" style="14" customWidth="1"/>
  </cols>
  <sheetData>
    <row r="1" spans="1:5" s="2" customFormat="1" ht="15">
      <c r="A1" s="204" t="s">
        <v>0</v>
      </c>
      <c r="B1" s="204"/>
      <c r="C1" s="1" t="s">
        <v>165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4" t="s">
        <v>8</v>
      </c>
      <c r="B3" s="204"/>
      <c r="C3" s="204"/>
      <c r="D3" s="204"/>
      <c r="E3" s="204"/>
      <c r="F3" s="3" t="s">
        <v>158</v>
      </c>
      <c r="G3" s="1"/>
    </row>
    <row r="4" s="2" customFormat="1" ht="15">
      <c r="A4" s="53"/>
    </row>
    <row r="5" spans="1:8" s="2" customFormat="1" ht="18.75">
      <c r="A5" s="205" t="s">
        <v>204</v>
      </c>
      <c r="B5" s="205"/>
      <c r="C5" s="205"/>
      <c r="D5" s="205"/>
      <c r="E5" s="205"/>
      <c r="F5" s="205"/>
      <c r="G5" s="205"/>
      <c r="H5" s="205"/>
    </row>
    <row r="6" spans="1:8" s="2" customFormat="1" ht="15">
      <c r="A6" s="215" t="s">
        <v>149</v>
      </c>
      <c r="B6" s="215"/>
      <c r="C6" s="215"/>
      <c r="D6" s="215"/>
      <c r="E6" s="215"/>
      <c r="F6" s="215"/>
      <c r="G6" s="215"/>
      <c r="H6" s="215"/>
    </row>
    <row r="7" spans="1:6" s="2" customFormat="1" ht="15">
      <c r="A7" s="53"/>
      <c r="B7" s="4" t="s">
        <v>2</v>
      </c>
      <c r="C7" s="4"/>
      <c r="D7" s="5" t="s">
        <v>207</v>
      </c>
      <c r="E7" s="4"/>
      <c r="F7" s="4"/>
    </row>
    <row r="8" s="2" customFormat="1" ht="7.5" customHeight="1">
      <c r="A8" s="53"/>
    </row>
    <row r="9" spans="1:9" s="2" customFormat="1" ht="15">
      <c r="A9" s="149" t="s">
        <v>23</v>
      </c>
      <c r="B9" s="149"/>
      <c r="C9" s="149"/>
      <c r="D9" s="149"/>
      <c r="E9" s="149"/>
      <c r="F9" s="149"/>
      <c r="G9" s="149"/>
      <c r="H9" s="7">
        <v>12565.6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/>
      <c r="F11" s="23"/>
      <c r="G11" s="23">
        <f aca="true" t="shared" si="0" ref="G11:G23">E11+F11</f>
        <v>0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/>
      <c r="F12" s="23"/>
      <c r="G12" s="23">
        <f t="shared" si="0"/>
        <v>0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6" t="s">
        <v>129</v>
      </c>
      <c r="C14" s="159"/>
      <c r="D14" s="159"/>
      <c r="E14" s="159"/>
      <c r="F14" s="159"/>
      <c r="G14" s="23">
        <f t="shared" si="0"/>
        <v>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/>
      <c r="F15" s="23"/>
      <c r="G15" s="23">
        <f t="shared" si="0"/>
        <v>0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/>
      <c r="F16" s="23"/>
      <c r="G16" s="23">
        <f t="shared" si="0"/>
        <v>0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/>
      <c r="F17" s="23"/>
      <c r="G17" s="23">
        <f t="shared" si="0"/>
        <v>0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134</v>
      </c>
      <c r="B19" s="18" t="s">
        <v>50</v>
      </c>
      <c r="C19" s="15" t="s">
        <v>16</v>
      </c>
      <c r="D19" s="19">
        <v>1</v>
      </c>
      <c r="E19" s="23"/>
      <c r="F19" s="23"/>
      <c r="G19" s="23">
        <f t="shared" si="0"/>
        <v>0</v>
      </c>
      <c r="H19" s="19"/>
    </row>
    <row r="20" spans="1:8" s="2" customFormat="1" ht="15">
      <c r="A20" s="17" t="s">
        <v>135</v>
      </c>
      <c r="B20" s="33" t="s">
        <v>103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186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187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188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10" s="2" customFormat="1" ht="15">
      <c r="A24" s="17" t="s">
        <v>189</v>
      </c>
      <c r="B24" s="18" t="s">
        <v>48</v>
      </c>
      <c r="C24" s="15"/>
      <c r="D24" s="19"/>
      <c r="E24" s="23">
        <f>E25+E26+E27</f>
        <v>0</v>
      </c>
      <c r="F24" s="23">
        <f>F25+F26</f>
        <v>0</v>
      </c>
      <c r="G24" s="23">
        <f>G25+G26+G27</f>
        <v>0</v>
      </c>
      <c r="H24" s="19"/>
      <c r="J24" s="2" t="s">
        <v>95</v>
      </c>
    </row>
    <row r="25" spans="1:8" s="4" customFormat="1" ht="15">
      <c r="A25" s="55"/>
      <c r="B25" s="34"/>
      <c r="C25" s="161"/>
      <c r="D25" s="35"/>
      <c r="E25" s="36"/>
      <c r="F25" s="36"/>
      <c r="G25" s="36"/>
      <c r="H25" s="35"/>
    </row>
    <row r="26" spans="1:8" s="4" customFormat="1" ht="15">
      <c r="A26" s="55"/>
      <c r="B26" s="34"/>
      <c r="C26" s="161"/>
      <c r="D26" s="35"/>
      <c r="E26" s="162"/>
      <c r="F26" s="36"/>
      <c r="G26" s="36"/>
      <c r="H26" s="35"/>
    </row>
    <row r="27" spans="1:8" s="4" customFormat="1" ht="15">
      <c r="A27" s="193"/>
      <c r="B27" s="194"/>
      <c r="C27" s="195"/>
      <c r="D27" s="35"/>
      <c r="E27" s="162"/>
      <c r="F27" s="36"/>
      <c r="G27" s="36"/>
      <c r="H27" s="35"/>
    </row>
    <row r="28" spans="1:8" s="2" customFormat="1" ht="17.25" customHeight="1">
      <c r="A28" s="61" t="s">
        <v>33</v>
      </c>
      <c r="B28" s="62"/>
      <c r="C28" s="170"/>
      <c r="D28" s="135"/>
      <c r="E28" s="171">
        <f>E11+E12+E13+E14+E15+E16+E17+E18+E19+E24+E20+E21+E22+E23</f>
        <v>0</v>
      </c>
      <c r="F28" s="171">
        <f>F11+F12+F13+F14+F15+F16+F17+F18+F19+F24+F20+F21+F22+F23</f>
        <v>0</v>
      </c>
      <c r="G28" s="171">
        <f>G11+G12+G13+G14+G15+G16+G17+G18+G19+G24+G20+G21+G22+G23</f>
        <v>0</v>
      </c>
      <c r="H28" s="41"/>
    </row>
    <row r="29" s="2" customFormat="1" ht="8.25" customHeight="1">
      <c r="A29" s="53"/>
    </row>
    <row r="30" spans="1:8" s="2" customFormat="1" ht="15">
      <c r="A30" s="149" t="s">
        <v>32</v>
      </c>
      <c r="B30" s="149"/>
      <c r="C30" s="149"/>
      <c r="D30" s="149"/>
      <c r="E30" s="149"/>
      <c r="F30" s="149"/>
      <c r="G30" s="149"/>
      <c r="H30" s="149"/>
    </row>
    <row r="31" spans="1:8" s="2" customFormat="1" ht="36.75" customHeight="1">
      <c r="A31" s="17" t="s">
        <v>3</v>
      </c>
      <c r="B31" s="15" t="s">
        <v>40</v>
      </c>
      <c r="C31" s="15" t="s">
        <v>5</v>
      </c>
      <c r="D31" s="15" t="s">
        <v>6</v>
      </c>
      <c r="E31" s="16" t="s">
        <v>17</v>
      </c>
      <c r="F31" s="16" t="s">
        <v>39</v>
      </c>
      <c r="G31" s="15" t="s">
        <v>18</v>
      </c>
      <c r="H31" s="15" t="s">
        <v>7</v>
      </c>
    </row>
    <row r="32" spans="1:8" s="2" customFormat="1" ht="25.5" customHeight="1">
      <c r="A32" s="17" t="s">
        <v>34</v>
      </c>
      <c r="B32" s="18" t="s">
        <v>150</v>
      </c>
      <c r="C32" s="15" t="s">
        <v>16</v>
      </c>
      <c r="D32" s="19">
        <v>1</v>
      </c>
      <c r="E32" s="23"/>
      <c r="F32" s="23"/>
      <c r="G32" s="23">
        <f aca="true" t="shared" si="1" ref="G32:G38">E32+F32</f>
        <v>0</v>
      </c>
      <c r="H32" s="19"/>
    </row>
    <row r="33" spans="1:8" s="2" customFormat="1" ht="26.25" customHeight="1">
      <c r="A33" s="17" t="s">
        <v>35</v>
      </c>
      <c r="B33" s="18" t="s">
        <v>151</v>
      </c>
      <c r="C33" s="15" t="s">
        <v>16</v>
      </c>
      <c r="D33" s="19">
        <v>1</v>
      </c>
      <c r="E33" s="23"/>
      <c r="F33" s="23"/>
      <c r="G33" s="23">
        <f t="shared" si="1"/>
        <v>0</v>
      </c>
      <c r="H33" s="19"/>
    </row>
    <row r="34" spans="1:8" s="2" customFormat="1" ht="15">
      <c r="A34" s="17" t="s">
        <v>36</v>
      </c>
      <c r="B34" s="156" t="s">
        <v>129</v>
      </c>
      <c r="C34" s="15"/>
      <c r="D34" s="19"/>
      <c r="E34" s="23"/>
      <c r="F34" s="23"/>
      <c r="G34" s="23">
        <f t="shared" si="1"/>
        <v>0</v>
      </c>
      <c r="H34" s="19"/>
    </row>
    <row r="35" spans="1:8" s="2" customFormat="1" ht="15">
      <c r="A35" s="17" t="s">
        <v>37</v>
      </c>
      <c r="B35" s="18" t="s">
        <v>51</v>
      </c>
      <c r="C35" s="15" t="s">
        <v>16</v>
      </c>
      <c r="D35" s="19">
        <v>1</v>
      </c>
      <c r="E35" s="23"/>
      <c r="F35" s="23"/>
      <c r="G35" s="23">
        <f t="shared" si="1"/>
        <v>0</v>
      </c>
      <c r="H35" s="19"/>
    </row>
    <row r="36" spans="1:8" s="2" customFormat="1" ht="15">
      <c r="A36" s="17" t="s">
        <v>137</v>
      </c>
      <c r="B36" s="18" t="s">
        <v>48</v>
      </c>
      <c r="C36" s="15" t="s">
        <v>9</v>
      </c>
      <c r="D36" s="19">
        <v>1</v>
      </c>
      <c r="E36" s="23">
        <f>E37+E38</f>
        <v>0</v>
      </c>
      <c r="F36" s="23">
        <f>F37+F38</f>
        <v>0</v>
      </c>
      <c r="G36" s="23">
        <f t="shared" si="1"/>
        <v>0</v>
      </c>
      <c r="H36" s="19"/>
    </row>
    <row r="37" spans="1:8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</row>
    <row r="38" spans="1:9" s="4" customFormat="1" ht="15">
      <c r="A38" s="55"/>
      <c r="B38" s="34"/>
      <c r="C38" s="161"/>
      <c r="D38" s="35"/>
      <c r="E38" s="36"/>
      <c r="F38" s="36"/>
      <c r="G38" s="36">
        <f t="shared" si="1"/>
        <v>0</v>
      </c>
      <c r="H38" s="35"/>
      <c r="I38" s="4" t="s">
        <v>95</v>
      </c>
    </row>
    <row r="39" spans="1:8" s="2" customFormat="1" ht="15">
      <c r="A39" s="231" t="s">
        <v>10</v>
      </c>
      <c r="B39" s="232"/>
      <c r="C39" s="203"/>
      <c r="D39" s="41"/>
      <c r="E39" s="171">
        <f>E32+E33+E34+E35+E36</f>
        <v>0</v>
      </c>
      <c r="F39" s="171">
        <f>F32+F33+F34+F35+F36</f>
        <v>0</v>
      </c>
      <c r="G39" s="171">
        <f>G32+G33+G34+G35+G36</f>
        <v>0</v>
      </c>
      <c r="H39" s="41"/>
    </row>
    <row r="40" s="2" customFormat="1" ht="9.75" customHeight="1">
      <c r="A40" s="53"/>
    </row>
    <row r="41" spans="1:8" s="2" customFormat="1" ht="15">
      <c r="A41" s="220" t="s">
        <v>38</v>
      </c>
      <c r="B41" s="220"/>
      <c r="C41" s="220"/>
      <c r="D41" s="220"/>
      <c r="E41" s="220"/>
      <c r="F41" s="220"/>
      <c r="G41" s="220"/>
      <c r="H41" s="220"/>
    </row>
    <row r="42" spans="1:8" s="2" customFormat="1" ht="36" customHeight="1">
      <c r="A42" s="17" t="s">
        <v>3</v>
      </c>
      <c r="B42" s="15" t="s">
        <v>40</v>
      </c>
      <c r="C42" s="15" t="s">
        <v>5</v>
      </c>
      <c r="D42" s="15" t="s">
        <v>6</v>
      </c>
      <c r="E42" s="16" t="s">
        <v>17</v>
      </c>
      <c r="F42" s="16" t="s">
        <v>39</v>
      </c>
      <c r="G42" s="15" t="s">
        <v>18</v>
      </c>
      <c r="H42" s="15" t="s">
        <v>7</v>
      </c>
    </row>
    <row r="43" spans="1:8" s="2" customFormat="1" ht="26.25" customHeight="1">
      <c r="A43" s="17" t="s">
        <v>42</v>
      </c>
      <c r="B43" s="18" t="s">
        <v>153</v>
      </c>
      <c r="C43" s="15" t="s">
        <v>16</v>
      </c>
      <c r="D43" s="15">
        <v>1</v>
      </c>
      <c r="E43" s="25"/>
      <c r="F43" s="25"/>
      <c r="G43" s="26">
        <f>E43+F43</f>
        <v>0</v>
      </c>
      <c r="H43" s="19"/>
    </row>
    <row r="44" spans="1:8" s="2" customFormat="1" ht="15">
      <c r="A44" s="17"/>
      <c r="B44" s="156" t="s">
        <v>129</v>
      </c>
      <c r="C44" s="15"/>
      <c r="D44" s="15"/>
      <c r="E44" s="25"/>
      <c r="F44" s="25"/>
      <c r="G44" s="26">
        <f>E44+F44</f>
        <v>0</v>
      </c>
      <c r="H44" s="19"/>
    </row>
    <row r="45" spans="1:8" s="2" customFormat="1" ht="15">
      <c r="A45" s="17" t="s">
        <v>43</v>
      </c>
      <c r="B45" s="18" t="s">
        <v>48</v>
      </c>
      <c r="C45" s="15"/>
      <c r="D45" s="15"/>
      <c r="E45" s="25"/>
      <c r="F45" s="25"/>
      <c r="G45" s="26">
        <f>E45+F45</f>
        <v>0</v>
      </c>
      <c r="H45" s="19"/>
    </row>
    <row r="46" spans="1:11" s="2" customFormat="1" ht="15">
      <c r="A46" s="17"/>
      <c r="B46" s="18"/>
      <c r="C46" s="15"/>
      <c r="D46" s="19"/>
      <c r="E46" s="23"/>
      <c r="F46" s="26"/>
      <c r="G46" s="37">
        <f>E46+F46</f>
        <v>0</v>
      </c>
      <c r="H46" s="19"/>
      <c r="K46" s="12">
        <f>F28+F39+F48</f>
        <v>0</v>
      </c>
    </row>
    <row r="47" spans="1:8" s="2" customFormat="1" ht="15">
      <c r="A47" s="17"/>
      <c r="B47" s="18"/>
      <c r="C47" s="19"/>
      <c r="D47" s="19"/>
      <c r="E47" s="23"/>
      <c r="F47" s="26"/>
      <c r="G47" s="37">
        <f>E47+F47</f>
        <v>0</v>
      </c>
      <c r="H47" s="19"/>
    </row>
    <row r="48" spans="1:8" s="2" customFormat="1" ht="15">
      <c r="A48" s="228" t="s">
        <v>41</v>
      </c>
      <c r="B48" s="229"/>
      <c r="C48" s="230"/>
      <c r="D48" s="41"/>
      <c r="E48" s="42">
        <f>SUM(E43:E47)</f>
        <v>0</v>
      </c>
      <c r="F48" s="44">
        <f>SUM(F43:F45)</f>
        <v>0</v>
      </c>
      <c r="G48" s="42">
        <f>SUM(G43:G47)</f>
        <v>0</v>
      </c>
      <c r="H48" s="41"/>
    </row>
    <row r="49" spans="1:8" s="2" customFormat="1" ht="7.5" customHeight="1">
      <c r="A49" s="54"/>
      <c r="B49" s="8"/>
      <c r="C49" s="8"/>
      <c r="D49" s="9"/>
      <c r="E49" s="9"/>
      <c r="F49" s="10"/>
      <c r="G49" s="9"/>
      <c r="H49" s="11"/>
    </row>
    <row r="50" spans="1:8" s="7" customFormat="1" ht="15" customHeight="1">
      <c r="A50" s="220" t="s">
        <v>154</v>
      </c>
      <c r="B50" s="220"/>
      <c r="C50" s="220"/>
      <c r="D50" s="220"/>
      <c r="E50" s="220"/>
      <c r="F50" s="220"/>
      <c r="G50" s="220"/>
      <c r="H50" s="58"/>
    </row>
    <row r="51" spans="1:7" s="2" customFormat="1" ht="24.75">
      <c r="A51" s="17" t="s">
        <v>3</v>
      </c>
      <c r="B51" s="15" t="s">
        <v>4</v>
      </c>
      <c r="C51" s="15" t="s">
        <v>5</v>
      </c>
      <c r="D51" s="15" t="s">
        <v>6</v>
      </c>
      <c r="E51" s="16" t="s">
        <v>45</v>
      </c>
      <c r="F51" s="221" t="s">
        <v>46</v>
      </c>
      <c r="G51" s="222"/>
    </row>
    <row r="52" spans="1:7" s="2" customFormat="1" ht="25.5" customHeight="1">
      <c r="A52" s="17" t="s">
        <v>65</v>
      </c>
      <c r="B52" s="27" t="s">
        <v>152</v>
      </c>
      <c r="C52" s="29" t="s">
        <v>16</v>
      </c>
      <c r="D52" s="28">
        <v>1</v>
      </c>
      <c r="E52" s="30"/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16</v>
      </c>
      <c r="D53" s="28">
        <v>1</v>
      </c>
      <c r="E53" s="30"/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16</v>
      </c>
      <c r="D54" s="28">
        <v>1</v>
      </c>
      <c r="E54" s="30"/>
      <c r="F54" s="30"/>
      <c r="G54" s="30"/>
    </row>
    <row r="55" spans="1:7" s="2" customFormat="1" ht="15">
      <c r="A55" s="17" t="s">
        <v>68</v>
      </c>
      <c r="B55" s="28" t="s">
        <v>54</v>
      </c>
      <c r="C55" s="29" t="s">
        <v>16</v>
      </c>
      <c r="D55" s="28">
        <v>1</v>
      </c>
      <c r="E55" s="30"/>
      <c r="F55" s="30"/>
      <c r="G55" s="30"/>
    </row>
    <row r="56" spans="1:7" s="2" customFormat="1" ht="15">
      <c r="A56" s="17" t="s">
        <v>70</v>
      </c>
      <c r="B56" s="18" t="s">
        <v>73</v>
      </c>
      <c r="C56" s="29" t="s">
        <v>16</v>
      </c>
      <c r="D56" s="28">
        <v>1</v>
      </c>
      <c r="E56" s="30">
        <f>E57+E58+E59+E60+E61+E62+E63+E64+E65</f>
        <v>0</v>
      </c>
      <c r="F56" s="30"/>
      <c r="G56" s="30"/>
    </row>
    <row r="57" spans="1:7" s="4" customFormat="1" ht="15">
      <c r="A57" s="55"/>
      <c r="B57" s="34" t="s">
        <v>62</v>
      </c>
      <c r="C57" s="29" t="s">
        <v>16</v>
      </c>
      <c r="D57" s="28">
        <v>1</v>
      </c>
      <c r="E57" s="36"/>
      <c r="F57" s="37"/>
      <c r="G57" s="36"/>
    </row>
    <row r="58" spans="1:11" s="4" customFormat="1" ht="15">
      <c r="A58" s="55"/>
      <c r="B58" s="34" t="s">
        <v>63</v>
      </c>
      <c r="C58" s="29" t="s">
        <v>16</v>
      </c>
      <c r="D58" s="28">
        <v>1</v>
      </c>
      <c r="E58" s="36"/>
      <c r="F58" s="37"/>
      <c r="G58" s="36"/>
      <c r="J58" s="38"/>
      <c r="K58" s="39"/>
    </row>
    <row r="59" spans="1:7" s="4" customFormat="1" ht="24.75">
      <c r="A59" s="55"/>
      <c r="B59" s="34" t="s">
        <v>64</v>
      </c>
      <c r="C59" s="29" t="s">
        <v>16</v>
      </c>
      <c r="D59" s="28">
        <v>1</v>
      </c>
      <c r="E59" s="36"/>
      <c r="F59" s="37"/>
      <c r="G59" s="36"/>
    </row>
    <row r="60" spans="1:7" s="4" customFormat="1" ht="15">
      <c r="A60" s="55"/>
      <c r="B60" s="34" t="s">
        <v>69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72</v>
      </c>
      <c r="C62" s="29" t="s">
        <v>16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75</v>
      </c>
      <c r="C63" s="29" t="s">
        <v>16</v>
      </c>
      <c r="D63" s="28">
        <v>1</v>
      </c>
      <c r="E63" s="35"/>
      <c r="F63" s="40"/>
      <c r="G63" s="35"/>
    </row>
    <row r="64" spans="1:7" s="4" customFormat="1" ht="15">
      <c r="A64" s="55"/>
      <c r="B64" s="34" t="s">
        <v>76</v>
      </c>
      <c r="C64" s="29" t="s">
        <v>16</v>
      </c>
      <c r="D64" s="28">
        <v>1</v>
      </c>
      <c r="E64" s="35"/>
      <c r="F64" s="40"/>
      <c r="G64" s="35"/>
    </row>
    <row r="65" spans="1:9" s="4" customFormat="1" ht="15">
      <c r="A65" s="55"/>
      <c r="B65" s="34"/>
      <c r="C65" s="35"/>
      <c r="D65" s="35"/>
      <c r="E65" s="35"/>
      <c r="F65" s="40"/>
      <c r="G65" s="35"/>
      <c r="I65" s="39"/>
    </row>
    <row r="66" spans="1:7" s="2" customFormat="1" ht="15">
      <c r="A66" s="180" t="s">
        <v>155</v>
      </c>
      <c r="B66" s="181"/>
      <c r="C66" s="182"/>
      <c r="D66" s="41"/>
      <c r="E66" s="42">
        <f>E52+E53+E54+E55+E56</f>
        <v>0</v>
      </c>
      <c r="F66" s="43"/>
      <c r="G66" s="41"/>
    </row>
    <row r="67" spans="1:7" s="52" customFormat="1" ht="25.5">
      <c r="A67" s="56" t="s">
        <v>156</v>
      </c>
      <c r="B67" s="47" t="s">
        <v>55</v>
      </c>
      <c r="C67" s="48" t="s">
        <v>16</v>
      </c>
      <c r="D67" s="49">
        <v>1</v>
      </c>
      <c r="E67" s="51"/>
      <c r="F67" s="50"/>
      <c r="G67" s="51"/>
    </row>
    <row r="68" spans="1:7" s="46" customFormat="1" ht="15" customHeight="1">
      <c r="A68" s="223" t="s">
        <v>157</v>
      </c>
      <c r="B68" s="224"/>
      <c r="C68" s="224"/>
      <c r="D68" s="224"/>
      <c r="E68" s="224"/>
      <c r="F68" s="224"/>
      <c r="G68" s="225"/>
    </row>
    <row r="69" spans="1:7" s="2" customFormat="1" ht="33.75" customHeight="1">
      <c r="A69" s="17" t="s">
        <v>3</v>
      </c>
      <c r="B69" s="15" t="s">
        <v>4</v>
      </c>
      <c r="C69" s="15" t="s">
        <v>5</v>
      </c>
      <c r="D69" s="15" t="s">
        <v>6</v>
      </c>
      <c r="E69" s="16" t="s">
        <v>45</v>
      </c>
      <c r="F69" s="221" t="s">
        <v>46</v>
      </c>
      <c r="G69" s="222"/>
    </row>
    <row r="70" spans="1:7" s="2" customFormat="1" ht="25.5" customHeight="1">
      <c r="A70" s="17"/>
      <c r="B70" s="33" t="s">
        <v>56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57</v>
      </c>
      <c r="C71" s="29" t="s">
        <v>16</v>
      </c>
      <c r="D71" s="28">
        <v>1</v>
      </c>
      <c r="E71" s="30"/>
      <c r="F71" s="30"/>
      <c r="G71" s="30"/>
    </row>
    <row r="72" spans="1:9" s="2" customFormat="1" ht="15">
      <c r="A72" s="17"/>
      <c r="B72" s="33" t="s">
        <v>58</v>
      </c>
      <c r="C72" s="29" t="s">
        <v>16</v>
      </c>
      <c r="D72" s="28">
        <v>1</v>
      </c>
      <c r="E72" s="30"/>
      <c r="F72" s="30"/>
      <c r="G72" s="30"/>
      <c r="I72" s="13">
        <f>E72+E71</f>
        <v>0</v>
      </c>
    </row>
    <row r="73" spans="1:7" s="2" customFormat="1" ht="15">
      <c r="A73" s="17"/>
      <c r="B73" s="33" t="s">
        <v>59</v>
      </c>
      <c r="C73" s="29" t="s">
        <v>16</v>
      </c>
      <c r="D73" s="28">
        <v>1</v>
      </c>
      <c r="E73" s="30"/>
      <c r="F73" s="30"/>
      <c r="G73" s="30"/>
    </row>
    <row r="74" spans="1:9" s="2" customFormat="1" ht="15">
      <c r="A74" s="17"/>
      <c r="B74" s="33" t="s">
        <v>60</v>
      </c>
      <c r="C74" s="29" t="s">
        <v>16</v>
      </c>
      <c r="D74" s="19">
        <v>1</v>
      </c>
      <c r="E74" s="30"/>
      <c r="F74" s="26"/>
      <c r="G74" s="23"/>
      <c r="I74" s="13">
        <f>E73+E74</f>
        <v>0</v>
      </c>
    </row>
    <row r="75" spans="1:7" s="2" customFormat="1" ht="15">
      <c r="A75" s="17"/>
      <c r="B75" s="18"/>
      <c r="C75" s="29"/>
      <c r="D75" s="28"/>
      <c r="E75" s="30"/>
      <c r="F75" s="30"/>
      <c r="G75" s="30"/>
    </row>
    <row r="76" spans="1:7" s="2" customFormat="1" ht="15">
      <c r="A76" s="216" t="s">
        <v>61</v>
      </c>
      <c r="B76" s="217"/>
      <c r="C76" s="218"/>
      <c r="D76" s="19"/>
      <c r="E76" s="30">
        <f>SUM(E70:E75)</f>
        <v>0</v>
      </c>
      <c r="F76" s="21"/>
      <c r="G76" s="19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pans="1:7" s="2" customFormat="1" ht="15">
      <c r="A80" s="54"/>
      <c r="B80" s="8"/>
      <c r="C80" s="8"/>
      <c r="D80" s="31"/>
      <c r="E80" s="45"/>
      <c r="F80" s="32"/>
      <c r="G80" s="31"/>
    </row>
    <row r="81" s="2" customFormat="1" ht="15">
      <c r="A81" s="53"/>
    </row>
    <row r="82" spans="1:7" s="2" customFormat="1" ht="15">
      <c r="A82" s="219" t="s">
        <v>11</v>
      </c>
      <c r="B82" s="219"/>
      <c r="C82" s="219"/>
      <c r="D82" s="219"/>
      <c r="E82" s="226">
        <f>G28+G39+G48+E66+E67+E76</f>
        <v>0</v>
      </c>
      <c r="F82" s="226"/>
      <c r="G82" s="226"/>
    </row>
    <row r="83" spans="1:7" s="2" customFormat="1" ht="15">
      <c r="A83" s="53"/>
      <c r="G83" s="13"/>
    </row>
    <row r="84" s="2" customFormat="1" ht="15">
      <c r="A84" s="53"/>
    </row>
    <row r="85" s="2" customFormat="1" ht="15">
      <c r="A85" s="53"/>
    </row>
    <row r="86" s="2" customFormat="1" ht="15">
      <c r="A86" s="53"/>
    </row>
    <row r="87" spans="1:5" s="2" customFormat="1" ht="15">
      <c r="A87" s="227" t="s">
        <v>47</v>
      </c>
      <c r="B87" s="227"/>
      <c r="E87" s="2" t="s">
        <v>12</v>
      </c>
    </row>
    <row r="88" spans="1:5" s="2" customFormat="1" ht="15">
      <c r="A88" s="227" t="s">
        <v>1</v>
      </c>
      <c r="B88" s="227"/>
      <c r="E88" s="2" t="s">
        <v>165</v>
      </c>
    </row>
    <row r="89" spans="1:5" s="2" customFormat="1" ht="30" customHeight="1">
      <c r="A89" s="215" t="s">
        <v>71</v>
      </c>
      <c r="B89" s="215"/>
      <c r="C89" s="22"/>
      <c r="E89" s="2" t="s">
        <v>15</v>
      </c>
    </row>
    <row r="90" s="2" customFormat="1" ht="15">
      <c r="A90" s="53"/>
    </row>
    <row r="91" s="2" customFormat="1" ht="15">
      <c r="A91" s="53"/>
    </row>
    <row r="92" s="2" customFormat="1" ht="15">
      <c r="A92" s="53"/>
    </row>
    <row r="93" s="2" customFormat="1" ht="15">
      <c r="A93" s="53"/>
    </row>
  </sheetData>
  <sheetProtection/>
  <mergeCells count="17">
    <mergeCell ref="A39:C39"/>
    <mergeCell ref="A41:H41"/>
    <mergeCell ref="A87:B87"/>
    <mergeCell ref="A88:B88"/>
    <mergeCell ref="A48:C48"/>
    <mergeCell ref="A50:G50"/>
    <mergeCell ref="F51:G51"/>
    <mergeCell ref="A68:G68"/>
    <mergeCell ref="A1:B1"/>
    <mergeCell ref="A3:E3"/>
    <mergeCell ref="A5:H5"/>
    <mergeCell ref="A6:H6"/>
    <mergeCell ref="A89:B89"/>
    <mergeCell ref="F69:G69"/>
    <mergeCell ref="A76:C76"/>
    <mergeCell ref="A82:D82"/>
    <mergeCell ref="E82:G82"/>
  </mergeCells>
  <printOptions/>
  <pageMargins left="0.33" right="0.2362204724409449" top="0.6299212598425197" bottom="0.51181102362204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46">
      <selection activeCell="E67" sqref="E67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4" t="s">
        <v>0</v>
      </c>
      <c r="B1" s="204"/>
      <c r="C1" s="1" t="s">
        <v>165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4" t="s">
        <v>8</v>
      </c>
      <c r="B3" s="204"/>
      <c r="C3" s="204"/>
      <c r="D3" s="204"/>
      <c r="E3" s="204"/>
      <c r="F3" s="3" t="s">
        <v>162</v>
      </c>
      <c r="G3" s="1"/>
    </row>
    <row r="4" s="2" customFormat="1" ht="15">
      <c r="A4" s="53"/>
    </row>
    <row r="5" spans="1:8" s="2" customFormat="1" ht="18.75">
      <c r="A5" s="205" t="s">
        <v>172</v>
      </c>
      <c r="B5" s="205"/>
      <c r="C5" s="205"/>
      <c r="D5" s="205"/>
      <c r="E5" s="205"/>
      <c r="F5" s="205"/>
      <c r="G5" s="205"/>
      <c r="H5" s="205"/>
    </row>
    <row r="6" spans="1:8" s="2" customFormat="1" ht="15">
      <c r="A6" s="215" t="s">
        <v>149</v>
      </c>
      <c r="B6" s="215"/>
      <c r="C6" s="215"/>
      <c r="D6" s="215"/>
      <c r="E6" s="215"/>
      <c r="F6" s="215"/>
      <c r="G6" s="215"/>
      <c r="H6" s="215"/>
    </row>
    <row r="7" spans="1:6" s="2" customFormat="1" ht="15">
      <c r="A7" s="53"/>
      <c r="B7" s="4" t="s">
        <v>2</v>
      </c>
      <c r="C7" s="4"/>
      <c r="D7" s="5" t="s">
        <v>173</v>
      </c>
      <c r="E7" s="4"/>
      <c r="F7" s="4"/>
    </row>
    <row r="8" s="2" customFormat="1" ht="7.5" customHeight="1">
      <c r="A8" s="53"/>
    </row>
    <row r="9" spans="1:9" s="2" customFormat="1" ht="15">
      <c r="A9" s="149" t="s">
        <v>23</v>
      </c>
      <c r="B9" s="149"/>
      <c r="C9" s="149"/>
      <c r="D9" s="149"/>
      <c r="E9" s="149"/>
      <c r="F9" s="149"/>
      <c r="G9" s="149"/>
      <c r="H9" s="7">
        <v>12565.6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/>
      <c r="F11" s="23"/>
      <c r="G11" s="23">
        <f aca="true" t="shared" si="0" ref="G11:G23">E11+F11</f>
        <v>0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/>
      <c r="F12" s="23"/>
      <c r="G12" s="23">
        <f t="shared" si="0"/>
        <v>0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6" t="s">
        <v>129</v>
      </c>
      <c r="C14" s="159"/>
      <c r="D14" s="159"/>
      <c r="E14" s="159"/>
      <c r="F14" s="159"/>
      <c r="G14" s="23">
        <f t="shared" si="0"/>
        <v>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/>
      <c r="F15" s="23"/>
      <c r="G15" s="23">
        <f t="shared" si="0"/>
        <v>0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/>
      <c r="F16" s="23"/>
      <c r="G16" s="23">
        <f t="shared" si="0"/>
        <v>0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/>
      <c r="F17" s="23"/>
      <c r="G17" s="23">
        <f t="shared" si="0"/>
        <v>0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134</v>
      </c>
      <c r="B19" s="18" t="s">
        <v>50</v>
      </c>
      <c r="C19" s="15" t="s">
        <v>16</v>
      </c>
      <c r="D19" s="19">
        <v>1</v>
      </c>
      <c r="E19" s="23"/>
      <c r="F19" s="23"/>
      <c r="G19" s="23">
        <f t="shared" si="0"/>
        <v>0</v>
      </c>
      <c r="H19" s="19"/>
    </row>
    <row r="20" spans="1:8" s="2" customFormat="1" ht="15">
      <c r="A20" s="17" t="s">
        <v>135</v>
      </c>
      <c r="B20" s="33" t="s">
        <v>103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186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187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188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10" s="2" customFormat="1" ht="15">
      <c r="A24" s="17" t="s">
        <v>189</v>
      </c>
      <c r="B24" s="18" t="s">
        <v>48</v>
      </c>
      <c r="C24" s="15"/>
      <c r="D24" s="19"/>
      <c r="E24" s="23">
        <f>E25+E26+E27</f>
        <v>0</v>
      </c>
      <c r="F24" s="23">
        <f>F25+F26</f>
        <v>0</v>
      </c>
      <c r="G24" s="23">
        <f>G25+G26+G27</f>
        <v>0</v>
      </c>
      <c r="H24" s="19"/>
      <c r="J24" s="2" t="s">
        <v>95</v>
      </c>
    </row>
    <row r="25" spans="1:8" s="4" customFormat="1" ht="15">
      <c r="A25" s="55"/>
      <c r="B25" s="34"/>
      <c r="C25" s="161"/>
      <c r="D25" s="35"/>
      <c r="E25" s="36"/>
      <c r="F25" s="36"/>
      <c r="G25" s="36"/>
      <c r="H25" s="35"/>
    </row>
    <row r="26" spans="1:8" s="4" customFormat="1" ht="15">
      <c r="A26" s="55"/>
      <c r="B26" s="34"/>
      <c r="C26" s="161"/>
      <c r="D26" s="35"/>
      <c r="E26" s="162"/>
      <c r="F26" s="36"/>
      <c r="G26" s="36"/>
      <c r="H26" s="35"/>
    </row>
    <row r="27" spans="1:8" s="4" customFormat="1" ht="15">
      <c r="A27" s="193"/>
      <c r="B27" s="194"/>
      <c r="C27" s="195"/>
      <c r="D27" s="35"/>
      <c r="E27" s="162"/>
      <c r="F27" s="36"/>
      <c r="G27" s="36"/>
      <c r="H27" s="35"/>
    </row>
    <row r="28" spans="1:8" s="2" customFormat="1" ht="17.25" customHeight="1">
      <c r="A28" s="61" t="s">
        <v>33</v>
      </c>
      <c r="B28" s="62"/>
      <c r="C28" s="170"/>
      <c r="D28" s="135"/>
      <c r="E28" s="171">
        <f>E11+E12+E13+E14+E15+E16+E17+E18+E19+E24+E20+E21+E22+E23</f>
        <v>0</v>
      </c>
      <c r="F28" s="171">
        <f>F11+F12+F13+F14+F15+F16+F17+F18+F19+F24+F20+F21+F22+F23</f>
        <v>0</v>
      </c>
      <c r="G28" s="171">
        <f>G11+G12+G13+G14+G15+G16+G17+G18+G19+G24+G20+G21+G22+G23</f>
        <v>0</v>
      </c>
      <c r="H28" s="41"/>
    </row>
    <row r="29" s="2" customFormat="1" ht="8.25" customHeight="1">
      <c r="A29" s="53"/>
    </row>
    <row r="30" spans="1:8" s="2" customFormat="1" ht="15">
      <c r="A30" s="149" t="s">
        <v>32</v>
      </c>
      <c r="B30" s="149"/>
      <c r="C30" s="149"/>
      <c r="D30" s="149"/>
      <c r="E30" s="149"/>
      <c r="F30" s="149"/>
      <c r="G30" s="149"/>
      <c r="H30" s="149"/>
    </row>
    <row r="31" spans="1:8" s="2" customFormat="1" ht="36.75" customHeight="1">
      <c r="A31" s="17" t="s">
        <v>3</v>
      </c>
      <c r="B31" s="15" t="s">
        <v>40</v>
      </c>
      <c r="C31" s="15" t="s">
        <v>5</v>
      </c>
      <c r="D31" s="15" t="s">
        <v>6</v>
      </c>
      <c r="E31" s="16" t="s">
        <v>17</v>
      </c>
      <c r="F31" s="16" t="s">
        <v>39</v>
      </c>
      <c r="G31" s="15" t="s">
        <v>18</v>
      </c>
      <c r="H31" s="15" t="s">
        <v>7</v>
      </c>
    </row>
    <row r="32" spans="1:8" s="2" customFormat="1" ht="25.5" customHeight="1">
      <c r="A32" s="17" t="s">
        <v>34</v>
      </c>
      <c r="B32" s="18" t="s">
        <v>150</v>
      </c>
      <c r="C32" s="15" t="s">
        <v>16</v>
      </c>
      <c r="D32" s="19">
        <v>1</v>
      </c>
      <c r="E32" s="23"/>
      <c r="F32" s="23"/>
      <c r="G32" s="23">
        <f aca="true" t="shared" si="1" ref="G32:G38">E32+F32</f>
        <v>0</v>
      </c>
      <c r="H32" s="19"/>
    </row>
    <row r="33" spans="1:8" s="2" customFormat="1" ht="26.25" customHeight="1">
      <c r="A33" s="17" t="s">
        <v>35</v>
      </c>
      <c r="B33" s="18" t="s">
        <v>151</v>
      </c>
      <c r="C33" s="15" t="s">
        <v>16</v>
      </c>
      <c r="D33" s="19">
        <v>1</v>
      </c>
      <c r="E33" s="23"/>
      <c r="F33" s="23"/>
      <c r="G33" s="23">
        <f t="shared" si="1"/>
        <v>0</v>
      </c>
      <c r="H33" s="19"/>
    </row>
    <row r="34" spans="1:8" s="2" customFormat="1" ht="15">
      <c r="A34" s="17" t="s">
        <v>36</v>
      </c>
      <c r="B34" s="156" t="s">
        <v>129</v>
      </c>
      <c r="C34" s="15"/>
      <c r="D34" s="19"/>
      <c r="E34" s="23"/>
      <c r="F34" s="23"/>
      <c r="G34" s="23">
        <f t="shared" si="1"/>
        <v>0</v>
      </c>
      <c r="H34" s="19"/>
    </row>
    <row r="35" spans="1:8" s="2" customFormat="1" ht="15">
      <c r="A35" s="17" t="s">
        <v>37</v>
      </c>
      <c r="B35" s="18" t="s">
        <v>51</v>
      </c>
      <c r="C35" s="15" t="s">
        <v>16</v>
      </c>
      <c r="D35" s="19">
        <v>1</v>
      </c>
      <c r="E35" s="23"/>
      <c r="F35" s="23"/>
      <c r="G35" s="23">
        <f t="shared" si="1"/>
        <v>0</v>
      </c>
      <c r="H35" s="19"/>
    </row>
    <row r="36" spans="1:8" s="2" customFormat="1" ht="15">
      <c r="A36" s="17" t="s">
        <v>137</v>
      </c>
      <c r="B36" s="18" t="s">
        <v>48</v>
      </c>
      <c r="C36" s="15" t="s">
        <v>9</v>
      </c>
      <c r="D36" s="19">
        <v>1</v>
      </c>
      <c r="E36" s="23">
        <f>E37+E38</f>
        <v>0</v>
      </c>
      <c r="F36" s="23">
        <f>F37+F38</f>
        <v>0</v>
      </c>
      <c r="G36" s="23">
        <f t="shared" si="1"/>
        <v>0</v>
      </c>
      <c r="H36" s="19"/>
    </row>
    <row r="37" spans="1:8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</row>
    <row r="38" spans="1:9" s="4" customFormat="1" ht="15">
      <c r="A38" s="55"/>
      <c r="B38" s="34"/>
      <c r="C38" s="161"/>
      <c r="D38" s="35"/>
      <c r="E38" s="36"/>
      <c r="F38" s="36"/>
      <c r="G38" s="36">
        <f t="shared" si="1"/>
        <v>0</v>
      </c>
      <c r="H38" s="35"/>
      <c r="I38" s="4" t="s">
        <v>95</v>
      </c>
    </row>
    <row r="39" spans="1:8" s="2" customFormat="1" ht="15">
      <c r="A39" s="231" t="s">
        <v>10</v>
      </c>
      <c r="B39" s="232"/>
      <c r="C39" s="203"/>
      <c r="D39" s="41"/>
      <c r="E39" s="171">
        <f>E32+E33+E34+E35+E36</f>
        <v>0</v>
      </c>
      <c r="F39" s="171">
        <f>F32+F33+F34+F35+F36</f>
        <v>0</v>
      </c>
      <c r="G39" s="171">
        <f>G32+G33+G34+G35+G36</f>
        <v>0</v>
      </c>
      <c r="H39" s="41"/>
    </row>
    <row r="40" s="2" customFormat="1" ht="9.75" customHeight="1">
      <c r="A40" s="53"/>
    </row>
    <row r="41" spans="1:8" s="2" customFormat="1" ht="15">
      <c r="A41" s="220" t="s">
        <v>38</v>
      </c>
      <c r="B41" s="220"/>
      <c r="C41" s="220"/>
      <c r="D41" s="220"/>
      <c r="E41" s="220"/>
      <c r="F41" s="220"/>
      <c r="G41" s="220"/>
      <c r="H41" s="220"/>
    </row>
    <row r="42" spans="1:8" s="2" customFormat="1" ht="36" customHeight="1">
      <c r="A42" s="17" t="s">
        <v>3</v>
      </c>
      <c r="B42" s="15" t="s">
        <v>40</v>
      </c>
      <c r="C42" s="15" t="s">
        <v>5</v>
      </c>
      <c r="D42" s="15" t="s">
        <v>6</v>
      </c>
      <c r="E42" s="16" t="s">
        <v>17</v>
      </c>
      <c r="F42" s="16" t="s">
        <v>39</v>
      </c>
      <c r="G42" s="15" t="s">
        <v>18</v>
      </c>
      <c r="H42" s="15" t="s">
        <v>7</v>
      </c>
    </row>
    <row r="43" spans="1:8" s="2" customFormat="1" ht="26.25" customHeight="1">
      <c r="A43" s="17" t="s">
        <v>42</v>
      </c>
      <c r="B43" s="18" t="s">
        <v>153</v>
      </c>
      <c r="C43" s="15" t="s">
        <v>16</v>
      </c>
      <c r="D43" s="15">
        <v>1</v>
      </c>
      <c r="E43" s="25"/>
      <c r="F43" s="25"/>
      <c r="G43" s="26">
        <f>E43+F43</f>
        <v>0</v>
      </c>
      <c r="H43" s="19"/>
    </row>
    <row r="44" spans="1:8" s="2" customFormat="1" ht="15">
      <c r="A44" s="17"/>
      <c r="B44" s="156" t="s">
        <v>129</v>
      </c>
      <c r="C44" s="15"/>
      <c r="D44" s="15"/>
      <c r="E44" s="25"/>
      <c r="F44" s="25"/>
      <c r="G44" s="26">
        <f>E44+F44</f>
        <v>0</v>
      </c>
      <c r="H44" s="19"/>
    </row>
    <row r="45" spans="1:8" s="2" customFormat="1" ht="15">
      <c r="A45" s="17" t="s">
        <v>43</v>
      </c>
      <c r="B45" s="18" t="s">
        <v>48</v>
      </c>
      <c r="C45" s="15"/>
      <c r="D45" s="15"/>
      <c r="E45" s="25"/>
      <c r="F45" s="25"/>
      <c r="G45" s="26">
        <f>E45+F45</f>
        <v>0</v>
      </c>
      <c r="H45" s="19"/>
    </row>
    <row r="46" spans="1:11" s="2" customFormat="1" ht="15">
      <c r="A46" s="17"/>
      <c r="B46" s="18"/>
      <c r="C46" s="15"/>
      <c r="D46" s="19"/>
      <c r="E46" s="23"/>
      <c r="F46" s="26"/>
      <c r="G46" s="37">
        <f>E46+F46</f>
        <v>0</v>
      </c>
      <c r="H46" s="19"/>
      <c r="K46" s="12">
        <f>F28+F39+F48</f>
        <v>0</v>
      </c>
    </row>
    <row r="47" spans="1:8" s="2" customFormat="1" ht="15">
      <c r="A47" s="17"/>
      <c r="B47" s="18"/>
      <c r="C47" s="19"/>
      <c r="D47" s="19"/>
      <c r="E47" s="23"/>
      <c r="F47" s="26"/>
      <c r="G47" s="37">
        <f>E47+F47</f>
        <v>0</v>
      </c>
      <c r="H47" s="19"/>
    </row>
    <row r="48" spans="1:8" s="2" customFormat="1" ht="15">
      <c r="A48" s="228" t="s">
        <v>41</v>
      </c>
      <c r="B48" s="229"/>
      <c r="C48" s="230"/>
      <c r="D48" s="41"/>
      <c r="E48" s="42">
        <f>SUM(E43:E47)</f>
        <v>0</v>
      </c>
      <c r="F48" s="44">
        <f>SUM(F43:F45)</f>
        <v>0</v>
      </c>
      <c r="G48" s="42">
        <f>SUM(G43:G47)</f>
        <v>0</v>
      </c>
      <c r="H48" s="41"/>
    </row>
    <row r="49" spans="1:8" s="2" customFormat="1" ht="7.5" customHeight="1">
      <c r="A49" s="54"/>
      <c r="B49" s="8"/>
      <c r="C49" s="8"/>
      <c r="D49" s="9"/>
      <c r="E49" s="9"/>
      <c r="F49" s="10"/>
      <c r="G49" s="9"/>
      <c r="H49" s="11"/>
    </row>
    <row r="50" spans="1:8" s="7" customFormat="1" ht="15" customHeight="1">
      <c r="A50" s="220" t="s">
        <v>154</v>
      </c>
      <c r="B50" s="220"/>
      <c r="C50" s="220"/>
      <c r="D50" s="220"/>
      <c r="E50" s="220"/>
      <c r="F50" s="220"/>
      <c r="G50" s="220"/>
      <c r="H50" s="58"/>
    </row>
    <row r="51" spans="1:7" s="2" customFormat="1" ht="24.75">
      <c r="A51" s="17" t="s">
        <v>3</v>
      </c>
      <c r="B51" s="15" t="s">
        <v>4</v>
      </c>
      <c r="C51" s="15" t="s">
        <v>5</v>
      </c>
      <c r="D51" s="15" t="s">
        <v>6</v>
      </c>
      <c r="E51" s="16" t="s">
        <v>45</v>
      </c>
      <c r="F51" s="221" t="s">
        <v>46</v>
      </c>
      <c r="G51" s="222"/>
    </row>
    <row r="52" spans="1:7" s="2" customFormat="1" ht="25.5" customHeight="1">
      <c r="A52" s="17" t="s">
        <v>65</v>
      </c>
      <c r="B52" s="27" t="s">
        <v>152</v>
      </c>
      <c r="C52" s="29" t="s">
        <v>16</v>
      </c>
      <c r="D52" s="28">
        <v>1</v>
      </c>
      <c r="E52" s="30"/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16</v>
      </c>
      <c r="D53" s="28">
        <v>1</v>
      </c>
      <c r="E53" s="30"/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16</v>
      </c>
      <c r="D54" s="28">
        <v>1</v>
      </c>
      <c r="E54" s="30"/>
      <c r="F54" s="30"/>
      <c r="G54" s="30"/>
    </row>
    <row r="55" spans="1:7" s="2" customFormat="1" ht="15">
      <c r="A55" s="17" t="s">
        <v>68</v>
      </c>
      <c r="B55" s="28" t="s">
        <v>54</v>
      </c>
      <c r="C55" s="29" t="s">
        <v>16</v>
      </c>
      <c r="D55" s="28">
        <v>1</v>
      </c>
      <c r="E55" s="30"/>
      <c r="F55" s="30"/>
      <c r="G55" s="30"/>
    </row>
    <row r="56" spans="1:7" s="2" customFormat="1" ht="15">
      <c r="A56" s="17" t="s">
        <v>70</v>
      </c>
      <c r="B56" s="18" t="s">
        <v>73</v>
      </c>
      <c r="C56" s="29" t="s">
        <v>16</v>
      </c>
      <c r="D56" s="28">
        <v>1</v>
      </c>
      <c r="E56" s="30"/>
      <c r="F56" s="30"/>
      <c r="G56" s="30"/>
    </row>
    <row r="57" spans="1:7" s="4" customFormat="1" ht="15">
      <c r="A57" s="55"/>
      <c r="B57" s="34" t="s">
        <v>62</v>
      </c>
      <c r="C57" s="29" t="s">
        <v>16</v>
      </c>
      <c r="D57" s="28">
        <v>1</v>
      </c>
      <c r="E57" s="36"/>
      <c r="F57" s="37"/>
      <c r="G57" s="36"/>
    </row>
    <row r="58" spans="1:11" s="4" customFormat="1" ht="15">
      <c r="A58" s="55"/>
      <c r="B58" s="34" t="s">
        <v>63</v>
      </c>
      <c r="C58" s="29" t="s">
        <v>16</v>
      </c>
      <c r="D58" s="28">
        <v>1</v>
      </c>
      <c r="E58" s="36"/>
      <c r="F58" s="37"/>
      <c r="G58" s="36"/>
      <c r="J58" s="38"/>
      <c r="K58" s="39"/>
    </row>
    <row r="59" spans="1:7" s="4" customFormat="1" ht="24.75">
      <c r="A59" s="55"/>
      <c r="B59" s="34" t="s">
        <v>64</v>
      </c>
      <c r="C59" s="29" t="s">
        <v>16</v>
      </c>
      <c r="D59" s="28">
        <v>1</v>
      </c>
      <c r="E59" s="36"/>
      <c r="F59" s="37"/>
      <c r="G59" s="36"/>
    </row>
    <row r="60" spans="1:7" s="4" customFormat="1" ht="15">
      <c r="A60" s="55"/>
      <c r="B60" s="34" t="s">
        <v>69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72</v>
      </c>
      <c r="C62" s="29" t="s">
        <v>16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75</v>
      </c>
      <c r="C63" s="29" t="s">
        <v>16</v>
      </c>
      <c r="D63" s="28">
        <v>1</v>
      </c>
      <c r="E63" s="35"/>
      <c r="F63" s="40"/>
      <c r="G63" s="35"/>
    </row>
    <row r="64" spans="1:7" s="4" customFormat="1" ht="15">
      <c r="A64" s="55"/>
      <c r="B64" s="34" t="s">
        <v>76</v>
      </c>
      <c r="C64" s="29" t="s">
        <v>16</v>
      </c>
      <c r="D64" s="28">
        <v>1</v>
      </c>
      <c r="E64" s="35"/>
      <c r="F64" s="40"/>
      <c r="G64" s="35"/>
    </row>
    <row r="65" spans="1:9" s="4" customFormat="1" ht="15">
      <c r="A65" s="55"/>
      <c r="B65" s="34"/>
      <c r="C65" s="35"/>
      <c r="D65" s="35"/>
      <c r="E65" s="35"/>
      <c r="F65" s="40"/>
      <c r="G65" s="35"/>
      <c r="I65" s="39"/>
    </row>
    <row r="66" spans="1:7" s="2" customFormat="1" ht="15">
      <c r="A66" s="180" t="s">
        <v>155</v>
      </c>
      <c r="B66" s="181"/>
      <c r="C66" s="182"/>
      <c r="D66" s="41"/>
      <c r="E66" s="42">
        <f>E52+E53+E54+E55+E56</f>
        <v>0</v>
      </c>
      <c r="F66" s="43"/>
      <c r="G66" s="41"/>
    </row>
    <row r="67" spans="1:7" s="52" customFormat="1" ht="25.5">
      <c r="A67" s="56" t="s">
        <v>156</v>
      </c>
      <c r="B67" s="47" t="s">
        <v>55</v>
      </c>
      <c r="C67" s="48" t="s">
        <v>16</v>
      </c>
      <c r="D67" s="49">
        <v>1</v>
      </c>
      <c r="E67" s="51"/>
      <c r="F67" s="50"/>
      <c r="G67" s="51"/>
    </row>
    <row r="68" spans="1:7" s="46" customFormat="1" ht="15" customHeight="1">
      <c r="A68" s="223" t="s">
        <v>157</v>
      </c>
      <c r="B68" s="224"/>
      <c r="C68" s="224"/>
      <c r="D68" s="224"/>
      <c r="E68" s="224"/>
      <c r="F68" s="224"/>
      <c r="G68" s="225"/>
    </row>
    <row r="69" spans="1:7" s="2" customFormat="1" ht="33.75" customHeight="1">
      <c r="A69" s="17" t="s">
        <v>3</v>
      </c>
      <c r="B69" s="15" t="s">
        <v>4</v>
      </c>
      <c r="C69" s="15" t="s">
        <v>5</v>
      </c>
      <c r="D69" s="15" t="s">
        <v>6</v>
      </c>
      <c r="E69" s="16" t="s">
        <v>45</v>
      </c>
      <c r="F69" s="221" t="s">
        <v>46</v>
      </c>
      <c r="G69" s="222"/>
    </row>
    <row r="70" spans="1:7" s="2" customFormat="1" ht="25.5" customHeight="1">
      <c r="A70" s="17"/>
      <c r="B70" s="33" t="s">
        <v>56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57</v>
      </c>
      <c r="C71" s="29" t="s">
        <v>16</v>
      </c>
      <c r="D71" s="28">
        <v>1</v>
      </c>
      <c r="E71" s="30"/>
      <c r="F71" s="30"/>
      <c r="G71" s="30"/>
    </row>
    <row r="72" spans="1:9" s="2" customFormat="1" ht="15">
      <c r="A72" s="17"/>
      <c r="B72" s="33" t="s">
        <v>58</v>
      </c>
      <c r="C72" s="29" t="s">
        <v>16</v>
      </c>
      <c r="D72" s="28">
        <v>1</v>
      </c>
      <c r="E72" s="30"/>
      <c r="F72" s="30"/>
      <c r="G72" s="30"/>
      <c r="I72" s="13">
        <f>E72+E71</f>
        <v>0</v>
      </c>
    </row>
    <row r="73" spans="1:7" s="2" customFormat="1" ht="15">
      <c r="A73" s="17"/>
      <c r="B73" s="33" t="s">
        <v>59</v>
      </c>
      <c r="C73" s="29" t="s">
        <v>16</v>
      </c>
      <c r="D73" s="28">
        <v>1</v>
      </c>
      <c r="E73" s="30"/>
      <c r="F73" s="30"/>
      <c r="G73" s="30"/>
    </row>
    <row r="74" spans="1:9" s="2" customFormat="1" ht="15">
      <c r="A74" s="17"/>
      <c r="B74" s="33" t="s">
        <v>60</v>
      </c>
      <c r="C74" s="29" t="s">
        <v>16</v>
      </c>
      <c r="D74" s="19">
        <v>1</v>
      </c>
      <c r="E74" s="30"/>
      <c r="F74" s="26"/>
      <c r="G74" s="23"/>
      <c r="I74" s="13">
        <f>E73+E74</f>
        <v>0</v>
      </c>
    </row>
    <row r="75" spans="1:7" s="2" customFormat="1" ht="15">
      <c r="A75" s="17"/>
      <c r="B75" s="18"/>
      <c r="C75" s="29"/>
      <c r="D75" s="28"/>
      <c r="E75" s="30"/>
      <c r="F75" s="30"/>
      <c r="G75" s="30"/>
    </row>
    <row r="76" spans="1:7" s="2" customFormat="1" ht="15">
      <c r="A76" s="216" t="s">
        <v>61</v>
      </c>
      <c r="B76" s="217"/>
      <c r="C76" s="218"/>
      <c r="D76" s="19"/>
      <c r="E76" s="30">
        <f>SUM(E70:E75)</f>
        <v>0</v>
      </c>
      <c r="F76" s="21"/>
      <c r="G76" s="19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pans="1:7" s="2" customFormat="1" ht="15">
      <c r="A80" s="54"/>
      <c r="B80" s="8"/>
      <c r="C80" s="8"/>
      <c r="D80" s="31"/>
      <c r="E80" s="45"/>
      <c r="F80" s="32"/>
      <c r="G80" s="31"/>
    </row>
    <row r="81" s="2" customFormat="1" ht="15">
      <c r="A81" s="53"/>
    </row>
    <row r="82" spans="1:7" s="2" customFormat="1" ht="15">
      <c r="A82" s="219" t="s">
        <v>11</v>
      </c>
      <c r="B82" s="219"/>
      <c r="C82" s="219"/>
      <c r="D82" s="219"/>
      <c r="E82" s="226">
        <f>G28+G39+G48+E66+E67+E76</f>
        <v>0</v>
      </c>
      <c r="F82" s="226"/>
      <c r="G82" s="226"/>
    </row>
    <row r="83" spans="1:7" s="2" customFormat="1" ht="15">
      <c r="A83" s="53"/>
      <c r="G83" s="13"/>
    </row>
    <row r="84" s="2" customFormat="1" ht="15">
      <c r="A84" s="53"/>
    </row>
    <row r="85" s="2" customFormat="1" ht="15">
      <c r="A85" s="53"/>
    </row>
    <row r="86" s="2" customFormat="1" ht="15">
      <c r="A86" s="53"/>
    </row>
    <row r="87" spans="1:5" s="2" customFormat="1" ht="15">
      <c r="A87" s="227" t="s">
        <v>47</v>
      </c>
      <c r="B87" s="227"/>
      <c r="E87" s="2" t="s">
        <v>12</v>
      </c>
    </row>
    <row r="88" spans="1:5" s="2" customFormat="1" ht="15">
      <c r="A88" s="227" t="s">
        <v>1</v>
      </c>
      <c r="B88" s="227"/>
      <c r="E88" s="2" t="s">
        <v>165</v>
      </c>
    </row>
    <row r="89" spans="1:5" s="2" customFormat="1" ht="30" customHeight="1">
      <c r="A89" s="215" t="s">
        <v>71</v>
      </c>
      <c r="B89" s="215"/>
      <c r="C89" s="22"/>
      <c r="E89" s="2" t="s">
        <v>15</v>
      </c>
    </row>
    <row r="90" s="2" customFormat="1" ht="15">
      <c r="A90" s="53"/>
    </row>
    <row r="91" s="2" customFormat="1" ht="15">
      <c r="A91" s="53"/>
    </row>
    <row r="92" s="2" customFormat="1" ht="15">
      <c r="A92" s="53"/>
    </row>
    <row r="93" s="2" customFormat="1" ht="15">
      <c r="A93" s="53"/>
    </row>
  </sheetData>
  <sheetProtection/>
  <mergeCells count="17">
    <mergeCell ref="A88:B88"/>
    <mergeCell ref="A89:B89"/>
    <mergeCell ref="A82:D82"/>
    <mergeCell ref="A1:B1"/>
    <mergeCell ref="A3:E3"/>
    <mergeCell ref="A5:H5"/>
    <mergeCell ref="A6:H6"/>
    <mergeCell ref="E82:G82"/>
    <mergeCell ref="A87:B87"/>
    <mergeCell ref="F51:G51"/>
    <mergeCell ref="A68:G68"/>
    <mergeCell ref="F69:G69"/>
    <mergeCell ref="A76:C76"/>
    <mergeCell ref="A39:C39"/>
    <mergeCell ref="A41:H41"/>
    <mergeCell ref="A48:C48"/>
    <mergeCell ref="A50:G50"/>
  </mergeCells>
  <printOptions/>
  <pageMargins left="0.3" right="0.35" top="0.62" bottom="0.64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46">
      <selection activeCell="E33" sqref="E33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4" t="s">
        <v>0</v>
      </c>
      <c r="B1" s="204"/>
      <c r="C1" s="1" t="s">
        <v>209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4" t="s">
        <v>8</v>
      </c>
      <c r="B3" s="204"/>
      <c r="C3" s="204"/>
      <c r="D3" s="204"/>
      <c r="E3" s="204"/>
      <c r="F3" s="3" t="s">
        <v>162</v>
      </c>
      <c r="G3" s="1"/>
    </row>
    <row r="4" s="2" customFormat="1" ht="15">
      <c r="A4" s="53"/>
    </row>
    <row r="5" spans="1:8" s="2" customFormat="1" ht="18.75">
      <c r="A5" s="205" t="s">
        <v>174</v>
      </c>
      <c r="B5" s="205"/>
      <c r="C5" s="205"/>
      <c r="D5" s="205"/>
      <c r="E5" s="205"/>
      <c r="F5" s="205"/>
      <c r="G5" s="205"/>
      <c r="H5" s="205"/>
    </row>
    <row r="6" spans="1:8" s="2" customFormat="1" ht="15">
      <c r="A6" s="215" t="s">
        <v>149</v>
      </c>
      <c r="B6" s="215"/>
      <c r="C6" s="215"/>
      <c r="D6" s="215"/>
      <c r="E6" s="215"/>
      <c r="F6" s="215"/>
      <c r="G6" s="215"/>
      <c r="H6" s="215"/>
    </row>
    <row r="7" spans="1:6" s="2" customFormat="1" ht="15">
      <c r="A7" s="53"/>
      <c r="B7" s="4" t="s">
        <v>2</v>
      </c>
      <c r="C7" s="4"/>
      <c r="D7" s="5" t="s">
        <v>175</v>
      </c>
      <c r="E7" s="4"/>
      <c r="F7" s="4"/>
    </row>
    <row r="8" s="2" customFormat="1" ht="7.5" customHeight="1">
      <c r="A8" s="53"/>
    </row>
    <row r="9" spans="1:9" s="2" customFormat="1" ht="15">
      <c r="A9" s="149" t="s">
        <v>23</v>
      </c>
      <c r="B9" s="149"/>
      <c r="C9" s="149"/>
      <c r="D9" s="149"/>
      <c r="E9" s="149"/>
      <c r="F9" s="149"/>
      <c r="G9" s="149"/>
      <c r="H9" s="7">
        <v>12565.6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41468.7</v>
      </c>
      <c r="F11" s="23"/>
      <c r="G11" s="23">
        <f aca="true" t="shared" si="0" ref="G11:G25">E11+F11</f>
        <v>41468.7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9817.08</v>
      </c>
      <c r="F12" s="23">
        <v>630</v>
      </c>
      <c r="G12" s="23">
        <f t="shared" si="0"/>
        <v>10447.08</v>
      </c>
      <c r="H12" s="19"/>
    </row>
    <row r="13" spans="1:8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27</v>
      </c>
      <c r="B14" s="156" t="s">
        <v>129</v>
      </c>
      <c r="C14" s="159"/>
      <c r="D14" s="159"/>
      <c r="E14" s="159"/>
      <c r="F14" s="159">
        <v>250</v>
      </c>
      <c r="G14" s="23">
        <f t="shared" si="0"/>
        <v>250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46428.48</v>
      </c>
      <c r="F15" s="23"/>
      <c r="G15" s="23">
        <f t="shared" si="0"/>
        <v>46428.48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26654.9</v>
      </c>
      <c r="F16" s="23"/>
      <c r="G16" s="23">
        <f t="shared" si="0"/>
        <v>26654.9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931.8</v>
      </c>
      <c r="F17" s="23"/>
      <c r="G17" s="23">
        <f t="shared" si="0"/>
        <v>931.8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>
        <v>2733.68</v>
      </c>
      <c r="F18" s="23"/>
      <c r="G18" s="23">
        <f t="shared" si="0"/>
        <v>2733.68</v>
      </c>
      <c r="H18" s="19"/>
    </row>
    <row r="19" spans="1:8" s="2" customFormat="1" ht="15">
      <c r="A19" s="17" t="s">
        <v>134</v>
      </c>
      <c r="B19" s="18" t="s">
        <v>50</v>
      </c>
      <c r="C19" s="15" t="s">
        <v>16</v>
      </c>
      <c r="D19" s="19">
        <v>1</v>
      </c>
      <c r="E19" s="23">
        <v>5950</v>
      </c>
      <c r="F19" s="23"/>
      <c r="G19" s="23">
        <f t="shared" si="0"/>
        <v>5950</v>
      </c>
      <c r="H19" s="19"/>
    </row>
    <row r="20" spans="1:8" s="2" customFormat="1" ht="15">
      <c r="A20" s="17" t="s">
        <v>135</v>
      </c>
      <c r="B20" s="33" t="s">
        <v>103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186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187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188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10" s="2" customFormat="1" ht="15">
      <c r="A24" s="17" t="s">
        <v>189</v>
      </c>
      <c r="B24" s="18" t="s">
        <v>48</v>
      </c>
      <c r="C24" s="15"/>
      <c r="D24" s="19"/>
      <c r="E24" s="23">
        <f>E25+E26+E27</f>
        <v>2600</v>
      </c>
      <c r="F24" s="23">
        <f>F25+F26</f>
        <v>0</v>
      </c>
      <c r="G24" s="23">
        <f>G25+G26+G27</f>
        <v>2600</v>
      </c>
      <c r="H24" s="19"/>
      <c r="J24" s="2" t="s">
        <v>95</v>
      </c>
    </row>
    <row r="25" spans="1:8" s="4" customFormat="1" ht="15">
      <c r="A25" s="55"/>
      <c r="B25" s="34" t="s">
        <v>164</v>
      </c>
      <c r="C25" s="161"/>
      <c r="D25" s="35"/>
      <c r="E25" s="36">
        <v>2600</v>
      </c>
      <c r="F25" s="36"/>
      <c r="G25" s="23">
        <f t="shared" si="0"/>
        <v>2600</v>
      </c>
      <c r="H25" s="35"/>
    </row>
    <row r="26" spans="1:8" s="4" customFormat="1" ht="15">
      <c r="A26" s="55"/>
      <c r="B26" s="34"/>
      <c r="C26" s="161"/>
      <c r="D26" s="35"/>
      <c r="E26" s="162"/>
      <c r="F26" s="36"/>
      <c r="G26" s="36"/>
      <c r="H26" s="35"/>
    </row>
    <row r="27" spans="1:8" s="4" customFormat="1" ht="15">
      <c r="A27" s="193"/>
      <c r="B27" s="194"/>
      <c r="C27" s="195"/>
      <c r="D27" s="35"/>
      <c r="E27" s="162"/>
      <c r="F27" s="36"/>
      <c r="G27" s="36"/>
      <c r="H27" s="35"/>
    </row>
    <row r="28" spans="1:8" s="2" customFormat="1" ht="17.25" customHeight="1">
      <c r="A28" s="61" t="s">
        <v>33</v>
      </c>
      <c r="B28" s="62"/>
      <c r="C28" s="170"/>
      <c r="D28" s="135"/>
      <c r="E28" s="171">
        <f>E11+E12+E13+E14+E15+E16+E17+E18+E19+E24+E20+E21+E22+E23</f>
        <v>136584.64</v>
      </c>
      <c r="F28" s="171">
        <f>F11+F12+F13+F14+F15+F16+F17+F18+F19+F24+F20+F21+F22+F23</f>
        <v>880</v>
      </c>
      <c r="G28" s="171">
        <f>G11+G12+G13+G14+G15+G16+G17+G18+G19+G24+G20+G21+G22+G23</f>
        <v>137464.64</v>
      </c>
      <c r="H28" s="41"/>
    </row>
    <row r="29" s="2" customFormat="1" ht="8.25" customHeight="1">
      <c r="A29" s="53"/>
    </row>
    <row r="30" spans="1:8" s="2" customFormat="1" ht="15">
      <c r="A30" s="149" t="s">
        <v>32</v>
      </c>
      <c r="B30" s="149"/>
      <c r="C30" s="149"/>
      <c r="D30" s="149"/>
      <c r="E30" s="149"/>
      <c r="F30" s="149"/>
      <c r="G30" s="149"/>
      <c r="H30" s="149"/>
    </row>
    <row r="31" spans="1:8" s="2" customFormat="1" ht="36.75" customHeight="1">
      <c r="A31" s="17" t="s">
        <v>3</v>
      </c>
      <c r="B31" s="15" t="s">
        <v>40</v>
      </c>
      <c r="C31" s="15" t="s">
        <v>5</v>
      </c>
      <c r="D31" s="15" t="s">
        <v>6</v>
      </c>
      <c r="E31" s="16" t="s">
        <v>17</v>
      </c>
      <c r="F31" s="16" t="s">
        <v>39</v>
      </c>
      <c r="G31" s="15" t="s">
        <v>18</v>
      </c>
      <c r="H31" s="15" t="s">
        <v>7</v>
      </c>
    </row>
    <row r="32" spans="1:8" s="2" customFormat="1" ht="25.5" customHeight="1">
      <c r="A32" s="17" t="s">
        <v>34</v>
      </c>
      <c r="B32" s="18" t="s">
        <v>150</v>
      </c>
      <c r="C32" s="15" t="s">
        <v>16</v>
      </c>
      <c r="D32" s="19">
        <v>1</v>
      </c>
      <c r="E32" s="23">
        <v>44050.06</v>
      </c>
      <c r="F32" s="23">
        <v>15984.86</v>
      </c>
      <c r="G32" s="23">
        <f aca="true" t="shared" si="1" ref="G32:G38">E32+F32</f>
        <v>60034.92</v>
      </c>
      <c r="H32" s="19"/>
    </row>
    <row r="33" spans="1:8" s="2" customFormat="1" ht="26.25" customHeight="1">
      <c r="A33" s="17" t="s">
        <v>35</v>
      </c>
      <c r="B33" s="18" t="s">
        <v>151</v>
      </c>
      <c r="C33" s="15" t="s">
        <v>16</v>
      </c>
      <c r="D33" s="19">
        <v>1</v>
      </c>
      <c r="E33" s="23">
        <v>9363.75</v>
      </c>
      <c r="F33" s="23">
        <v>1166</v>
      </c>
      <c r="G33" s="23">
        <f t="shared" si="1"/>
        <v>10529.75</v>
      </c>
      <c r="H33" s="19"/>
    </row>
    <row r="34" spans="1:8" s="2" customFormat="1" ht="15">
      <c r="A34" s="17" t="s">
        <v>36</v>
      </c>
      <c r="B34" s="156" t="s">
        <v>129</v>
      </c>
      <c r="C34" s="15"/>
      <c r="D34" s="19"/>
      <c r="E34" s="23"/>
      <c r="F34" s="23"/>
      <c r="G34" s="23">
        <f t="shared" si="1"/>
        <v>0</v>
      </c>
      <c r="H34" s="19"/>
    </row>
    <row r="35" spans="1:8" s="2" customFormat="1" ht="15">
      <c r="A35" s="17" t="s">
        <v>37</v>
      </c>
      <c r="B35" s="18" t="s">
        <v>51</v>
      </c>
      <c r="C35" s="15" t="s">
        <v>16</v>
      </c>
      <c r="D35" s="19">
        <v>2</v>
      </c>
      <c r="E35" s="23">
        <v>8769.9</v>
      </c>
      <c r="F35" s="23"/>
      <c r="G35" s="23">
        <f t="shared" si="1"/>
        <v>8769.9</v>
      </c>
      <c r="H35" s="19"/>
    </row>
    <row r="36" spans="1:8" s="2" customFormat="1" ht="15">
      <c r="A36" s="17" t="s">
        <v>137</v>
      </c>
      <c r="B36" s="18" t="s">
        <v>48</v>
      </c>
      <c r="C36" s="15" t="s">
        <v>9</v>
      </c>
      <c r="D36" s="19">
        <v>1</v>
      </c>
      <c r="E36" s="23">
        <f>E37+E38</f>
        <v>0</v>
      </c>
      <c r="F36" s="23">
        <f>F37+F38</f>
        <v>0</v>
      </c>
      <c r="G36" s="23">
        <f t="shared" si="1"/>
        <v>0</v>
      </c>
      <c r="H36" s="19"/>
    </row>
    <row r="37" spans="1:8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</row>
    <row r="38" spans="1:9" s="4" customFormat="1" ht="15">
      <c r="A38" s="55"/>
      <c r="B38" s="34"/>
      <c r="C38" s="161"/>
      <c r="D38" s="35"/>
      <c r="E38" s="36"/>
      <c r="F38" s="36"/>
      <c r="G38" s="36">
        <f t="shared" si="1"/>
        <v>0</v>
      </c>
      <c r="H38" s="35"/>
      <c r="I38" s="4" t="s">
        <v>95</v>
      </c>
    </row>
    <row r="39" spans="1:8" s="2" customFormat="1" ht="15">
      <c r="A39" s="231" t="s">
        <v>10</v>
      </c>
      <c r="B39" s="232"/>
      <c r="C39" s="203"/>
      <c r="D39" s="41"/>
      <c r="E39" s="171">
        <f>E32+E33+E34+E35+E36</f>
        <v>62183.71</v>
      </c>
      <c r="F39" s="171">
        <f>F32+F33+F34+F35+F36</f>
        <v>17150.86</v>
      </c>
      <c r="G39" s="171">
        <f>G32+G33+G34+G35+G36</f>
        <v>79334.56999999999</v>
      </c>
      <c r="H39" s="41"/>
    </row>
    <row r="40" s="2" customFormat="1" ht="9.75" customHeight="1">
      <c r="A40" s="53"/>
    </row>
    <row r="41" spans="1:8" s="2" customFormat="1" ht="15">
      <c r="A41" s="220" t="s">
        <v>38</v>
      </c>
      <c r="B41" s="220"/>
      <c r="C41" s="220"/>
      <c r="D41" s="220"/>
      <c r="E41" s="220"/>
      <c r="F41" s="220"/>
      <c r="G41" s="220"/>
      <c r="H41" s="220"/>
    </row>
    <row r="42" spans="1:8" s="2" customFormat="1" ht="36" customHeight="1">
      <c r="A42" s="17" t="s">
        <v>3</v>
      </c>
      <c r="B42" s="15" t="s">
        <v>40</v>
      </c>
      <c r="C42" s="15" t="s">
        <v>5</v>
      </c>
      <c r="D42" s="15" t="s">
        <v>6</v>
      </c>
      <c r="E42" s="16" t="s">
        <v>17</v>
      </c>
      <c r="F42" s="16" t="s">
        <v>39</v>
      </c>
      <c r="G42" s="15" t="s">
        <v>18</v>
      </c>
      <c r="H42" s="15" t="s">
        <v>7</v>
      </c>
    </row>
    <row r="43" spans="1:8" s="2" customFormat="1" ht="26.25" customHeight="1">
      <c r="A43" s="17" t="s">
        <v>42</v>
      </c>
      <c r="B43" s="18" t="s">
        <v>153</v>
      </c>
      <c r="C43" s="15" t="s">
        <v>16</v>
      </c>
      <c r="D43" s="15">
        <v>1</v>
      </c>
      <c r="E43" s="25">
        <v>5094.1</v>
      </c>
      <c r="F43" s="25">
        <v>2722.97</v>
      </c>
      <c r="G43" s="26">
        <f>E43+F43</f>
        <v>7817.07</v>
      </c>
      <c r="H43" s="19"/>
    </row>
    <row r="44" spans="1:8" s="2" customFormat="1" ht="15">
      <c r="A44" s="17"/>
      <c r="B44" s="156" t="s">
        <v>129</v>
      </c>
      <c r="C44" s="15"/>
      <c r="D44" s="15"/>
      <c r="E44" s="25"/>
      <c r="F44" s="25"/>
      <c r="G44" s="26">
        <f>E44+F44</f>
        <v>0</v>
      </c>
      <c r="H44" s="19"/>
    </row>
    <row r="45" spans="1:8" s="2" customFormat="1" ht="15">
      <c r="A45" s="17" t="s">
        <v>43</v>
      </c>
      <c r="B45" s="18" t="s">
        <v>48</v>
      </c>
      <c r="C45" s="15"/>
      <c r="D45" s="15"/>
      <c r="E45" s="25"/>
      <c r="F45" s="25"/>
      <c r="G45" s="26">
        <f>E45+F45</f>
        <v>0</v>
      </c>
      <c r="H45" s="19"/>
    </row>
    <row r="46" spans="1:11" s="2" customFormat="1" ht="15">
      <c r="A46" s="17"/>
      <c r="B46" s="18"/>
      <c r="C46" s="15"/>
      <c r="D46" s="19"/>
      <c r="E46" s="23"/>
      <c r="F46" s="26"/>
      <c r="G46" s="37">
        <f>E46+F46</f>
        <v>0</v>
      </c>
      <c r="H46" s="19"/>
      <c r="K46" s="12">
        <f>F28+F39+F48</f>
        <v>20753.83</v>
      </c>
    </row>
    <row r="47" spans="1:8" s="2" customFormat="1" ht="15">
      <c r="A47" s="17"/>
      <c r="B47" s="18"/>
      <c r="C47" s="19"/>
      <c r="D47" s="19"/>
      <c r="E47" s="23"/>
      <c r="F47" s="26"/>
      <c r="G47" s="37">
        <f>E47+F47</f>
        <v>0</v>
      </c>
      <c r="H47" s="19"/>
    </row>
    <row r="48" spans="1:8" s="2" customFormat="1" ht="15">
      <c r="A48" s="228" t="s">
        <v>41</v>
      </c>
      <c r="B48" s="229"/>
      <c r="C48" s="230"/>
      <c r="D48" s="41"/>
      <c r="E48" s="42">
        <f>SUM(E43:E47)</f>
        <v>5094.1</v>
      </c>
      <c r="F48" s="44">
        <f>SUM(F43:F45)</f>
        <v>2722.97</v>
      </c>
      <c r="G48" s="42">
        <f>SUM(G43:G47)</f>
        <v>7817.07</v>
      </c>
      <c r="H48" s="41"/>
    </row>
    <row r="49" spans="1:8" s="2" customFormat="1" ht="7.5" customHeight="1">
      <c r="A49" s="54"/>
      <c r="B49" s="8"/>
      <c r="C49" s="8"/>
      <c r="D49" s="9"/>
      <c r="E49" s="9"/>
      <c r="F49" s="10"/>
      <c r="G49" s="9"/>
      <c r="H49" s="11"/>
    </row>
    <row r="50" spans="1:8" s="7" customFormat="1" ht="15" customHeight="1">
      <c r="A50" s="220" t="s">
        <v>154</v>
      </c>
      <c r="B50" s="220"/>
      <c r="C50" s="220"/>
      <c r="D50" s="220"/>
      <c r="E50" s="220"/>
      <c r="F50" s="220"/>
      <c r="G50" s="220"/>
      <c r="H50" s="58"/>
    </row>
    <row r="51" spans="1:7" s="2" customFormat="1" ht="24.75">
      <c r="A51" s="17" t="s">
        <v>3</v>
      </c>
      <c r="B51" s="15" t="s">
        <v>4</v>
      </c>
      <c r="C51" s="15" t="s">
        <v>5</v>
      </c>
      <c r="D51" s="15" t="s">
        <v>6</v>
      </c>
      <c r="E51" s="16" t="s">
        <v>45</v>
      </c>
      <c r="F51" s="221" t="s">
        <v>46</v>
      </c>
      <c r="G51" s="222"/>
    </row>
    <row r="52" spans="1:7" s="2" customFormat="1" ht="25.5" customHeight="1">
      <c r="A52" s="17" t="s">
        <v>65</v>
      </c>
      <c r="B52" s="27" t="s">
        <v>152</v>
      </c>
      <c r="C52" s="29" t="s">
        <v>16</v>
      </c>
      <c r="D52" s="28">
        <v>1</v>
      </c>
      <c r="E52" s="30">
        <v>28574.17</v>
      </c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16</v>
      </c>
      <c r="D53" s="28">
        <v>1</v>
      </c>
      <c r="E53" s="30">
        <v>5026.24</v>
      </c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16</v>
      </c>
      <c r="D54" s="28">
        <v>1</v>
      </c>
      <c r="E54" s="30">
        <v>2638.78</v>
      </c>
      <c r="F54" s="30"/>
      <c r="G54" s="30"/>
    </row>
    <row r="55" spans="1:7" s="2" customFormat="1" ht="15">
      <c r="A55" s="17" t="s">
        <v>68</v>
      </c>
      <c r="B55" s="28" t="s">
        <v>54</v>
      </c>
      <c r="C55" s="29" t="s">
        <v>16</v>
      </c>
      <c r="D55" s="28">
        <v>1</v>
      </c>
      <c r="E55" s="30">
        <v>3886.97</v>
      </c>
      <c r="F55" s="30"/>
      <c r="G55" s="30"/>
    </row>
    <row r="56" spans="1:7" s="2" customFormat="1" ht="15">
      <c r="A56" s="17" t="s">
        <v>70</v>
      </c>
      <c r="B56" s="18" t="s">
        <v>73</v>
      </c>
      <c r="C56" s="29" t="s">
        <v>16</v>
      </c>
      <c r="D56" s="28">
        <v>1</v>
      </c>
      <c r="E56" s="30">
        <f>E57+E58+E59+E60+E61+E62+E63+E64+E65</f>
        <v>10584.77</v>
      </c>
      <c r="F56" s="30"/>
      <c r="G56" s="30"/>
    </row>
    <row r="57" spans="1:7" s="4" customFormat="1" ht="15">
      <c r="A57" s="55"/>
      <c r="B57" s="34" t="s">
        <v>62</v>
      </c>
      <c r="C57" s="29" t="s">
        <v>16</v>
      </c>
      <c r="D57" s="28">
        <v>1</v>
      </c>
      <c r="E57" s="36">
        <v>3473.84</v>
      </c>
      <c r="F57" s="37"/>
      <c r="G57" s="36"/>
    </row>
    <row r="58" spans="1:11" s="4" customFormat="1" ht="15">
      <c r="A58" s="55"/>
      <c r="B58" s="34" t="s">
        <v>63</v>
      </c>
      <c r="C58" s="29" t="s">
        <v>16</v>
      </c>
      <c r="D58" s="28">
        <v>1</v>
      </c>
      <c r="E58" s="36">
        <v>961.73</v>
      </c>
      <c r="F58" s="37"/>
      <c r="G58" s="36"/>
      <c r="J58" s="38"/>
      <c r="K58" s="39"/>
    </row>
    <row r="59" spans="1:7" s="4" customFormat="1" ht="24.75">
      <c r="A59" s="55"/>
      <c r="B59" s="34" t="s">
        <v>64</v>
      </c>
      <c r="C59" s="29" t="s">
        <v>16</v>
      </c>
      <c r="D59" s="28">
        <v>1</v>
      </c>
      <c r="E59" s="36">
        <f>1669.85+1789.77</f>
        <v>3459.62</v>
      </c>
      <c r="F59" s="37"/>
      <c r="G59" s="36"/>
    </row>
    <row r="60" spans="1:7" s="4" customFormat="1" ht="15">
      <c r="A60" s="55"/>
      <c r="B60" s="34" t="s">
        <v>69</v>
      </c>
      <c r="C60" s="29" t="s">
        <v>16</v>
      </c>
      <c r="D60" s="28">
        <v>1</v>
      </c>
      <c r="E60" s="35">
        <v>1788.79</v>
      </c>
      <c r="F60" s="40"/>
      <c r="G60" s="35"/>
    </row>
    <row r="61" spans="1:7" s="4" customFormat="1" ht="15">
      <c r="A61" s="55"/>
      <c r="B61" s="34" t="s">
        <v>74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72</v>
      </c>
      <c r="C62" s="29" t="s">
        <v>16</v>
      </c>
      <c r="D62" s="28">
        <v>1</v>
      </c>
      <c r="E62" s="35">
        <v>854.79</v>
      </c>
      <c r="F62" s="40"/>
      <c r="G62" s="35"/>
    </row>
    <row r="63" spans="1:7" s="4" customFormat="1" ht="15">
      <c r="A63" s="55"/>
      <c r="B63" s="34" t="s">
        <v>75</v>
      </c>
      <c r="C63" s="29" t="s">
        <v>16</v>
      </c>
      <c r="D63" s="28">
        <v>1</v>
      </c>
      <c r="E63" s="35">
        <v>46</v>
      </c>
      <c r="F63" s="40"/>
      <c r="G63" s="35"/>
    </row>
    <row r="64" spans="1:7" s="4" customFormat="1" ht="15">
      <c r="A64" s="55"/>
      <c r="B64" s="34" t="s">
        <v>76</v>
      </c>
      <c r="C64" s="29" t="s">
        <v>16</v>
      </c>
      <c r="D64" s="28">
        <v>1</v>
      </c>
      <c r="E64" s="35"/>
      <c r="F64" s="40"/>
      <c r="G64" s="35"/>
    </row>
    <row r="65" spans="1:9" s="4" customFormat="1" ht="15">
      <c r="A65" s="55"/>
      <c r="B65" s="34"/>
      <c r="C65" s="35"/>
      <c r="D65" s="35"/>
      <c r="E65" s="35"/>
      <c r="F65" s="40"/>
      <c r="G65" s="35"/>
      <c r="I65" s="39"/>
    </row>
    <row r="66" spans="1:7" s="2" customFormat="1" ht="15">
      <c r="A66" s="180" t="s">
        <v>155</v>
      </c>
      <c r="B66" s="181"/>
      <c r="C66" s="182"/>
      <c r="D66" s="41"/>
      <c r="E66" s="42">
        <f>E52+E53+E54+E55+E56</f>
        <v>50710.92999999999</v>
      </c>
      <c r="F66" s="43"/>
      <c r="G66" s="41"/>
    </row>
    <row r="67" spans="1:7" s="52" customFormat="1" ht="25.5">
      <c r="A67" s="56" t="s">
        <v>156</v>
      </c>
      <c r="B67" s="47" t="s">
        <v>55</v>
      </c>
      <c r="C67" s="48" t="s">
        <v>16</v>
      </c>
      <c r="D67" s="49">
        <v>1</v>
      </c>
      <c r="E67" s="51">
        <v>5621.16</v>
      </c>
      <c r="F67" s="50"/>
      <c r="G67" s="51"/>
    </row>
    <row r="68" spans="1:7" s="46" customFormat="1" ht="15" customHeight="1">
      <c r="A68" s="223" t="s">
        <v>157</v>
      </c>
      <c r="B68" s="224"/>
      <c r="C68" s="224"/>
      <c r="D68" s="224"/>
      <c r="E68" s="224"/>
      <c r="F68" s="224"/>
      <c r="G68" s="225"/>
    </row>
    <row r="69" spans="1:7" s="2" customFormat="1" ht="33.75" customHeight="1">
      <c r="A69" s="17" t="s">
        <v>3</v>
      </c>
      <c r="B69" s="15" t="s">
        <v>4</v>
      </c>
      <c r="C69" s="15" t="s">
        <v>5</v>
      </c>
      <c r="D69" s="15" t="s">
        <v>6</v>
      </c>
      <c r="E69" s="16" t="s">
        <v>45</v>
      </c>
      <c r="F69" s="221" t="s">
        <v>46</v>
      </c>
      <c r="G69" s="222"/>
    </row>
    <row r="70" spans="1:7" s="2" customFormat="1" ht="25.5" customHeight="1">
      <c r="A70" s="17"/>
      <c r="B70" s="33" t="s">
        <v>56</v>
      </c>
      <c r="C70" s="29" t="s">
        <v>16</v>
      </c>
      <c r="D70" s="28">
        <v>1</v>
      </c>
      <c r="E70" s="30">
        <f>62745.54-391.92</f>
        <v>62353.62</v>
      </c>
      <c r="F70" s="30"/>
      <c r="G70" s="30"/>
    </row>
    <row r="71" spans="1:7" s="2" customFormat="1" ht="15">
      <c r="A71" s="17"/>
      <c r="B71" s="33" t="s">
        <v>57</v>
      </c>
      <c r="C71" s="29" t="s">
        <v>16</v>
      </c>
      <c r="D71" s="28">
        <v>1</v>
      </c>
      <c r="E71" s="30"/>
      <c r="F71" s="30"/>
      <c r="G71" s="30"/>
    </row>
    <row r="72" spans="1:9" s="2" customFormat="1" ht="15">
      <c r="A72" s="17"/>
      <c r="B72" s="33" t="s">
        <v>58</v>
      </c>
      <c r="C72" s="29" t="s">
        <v>16</v>
      </c>
      <c r="D72" s="28">
        <v>1</v>
      </c>
      <c r="E72" s="30">
        <f>29780.37-102.14</f>
        <v>29678.23</v>
      </c>
      <c r="F72" s="30"/>
      <c r="G72" s="30"/>
      <c r="I72" s="13">
        <f>E72+E71</f>
        <v>29678.23</v>
      </c>
    </row>
    <row r="73" spans="1:7" s="2" customFormat="1" ht="15">
      <c r="A73" s="17"/>
      <c r="B73" s="33" t="s">
        <v>59</v>
      </c>
      <c r="C73" s="29" t="s">
        <v>16</v>
      </c>
      <c r="D73" s="28">
        <v>1</v>
      </c>
      <c r="E73" s="30">
        <f>19246.36-78.27</f>
        <v>19168.09</v>
      </c>
      <c r="F73" s="30"/>
      <c r="G73" s="30"/>
    </row>
    <row r="74" spans="1:9" s="2" customFormat="1" ht="15">
      <c r="A74" s="17"/>
      <c r="B74" s="33" t="s">
        <v>60</v>
      </c>
      <c r="C74" s="29" t="s">
        <v>16</v>
      </c>
      <c r="D74" s="19">
        <v>1</v>
      </c>
      <c r="E74" s="30">
        <f>20889.22-66.44</f>
        <v>20822.780000000002</v>
      </c>
      <c r="F74" s="26"/>
      <c r="G74" s="23"/>
      <c r="I74" s="13">
        <f>E73+E74</f>
        <v>39990.87</v>
      </c>
    </row>
    <row r="75" spans="1:7" s="2" customFormat="1" ht="15">
      <c r="A75" s="17"/>
      <c r="B75" s="18"/>
      <c r="C75" s="29"/>
      <c r="D75" s="28"/>
      <c r="E75" s="30"/>
      <c r="F75" s="30"/>
      <c r="G75" s="30"/>
    </row>
    <row r="76" spans="1:7" s="2" customFormat="1" ht="15">
      <c r="A76" s="216" t="s">
        <v>61</v>
      </c>
      <c r="B76" s="217"/>
      <c r="C76" s="218"/>
      <c r="D76" s="19"/>
      <c r="E76" s="30">
        <f>SUM(E70:E75)</f>
        <v>132022.72</v>
      </c>
      <c r="F76" s="21"/>
      <c r="G76" s="19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pans="1:7" s="2" customFormat="1" ht="15">
      <c r="A80" s="54"/>
      <c r="B80" s="8"/>
      <c r="C80" s="8"/>
      <c r="D80" s="31"/>
      <c r="E80" s="45"/>
      <c r="F80" s="32"/>
      <c r="G80" s="31"/>
    </row>
    <row r="81" s="2" customFormat="1" ht="15">
      <c r="A81" s="53"/>
    </row>
    <row r="82" spans="1:7" s="2" customFormat="1" ht="15">
      <c r="A82" s="219" t="s">
        <v>11</v>
      </c>
      <c r="B82" s="219"/>
      <c r="C82" s="219"/>
      <c r="D82" s="219"/>
      <c r="E82" s="226">
        <f>G28+G39+G48+E66+E67+E76</f>
        <v>412971.08999999997</v>
      </c>
      <c r="F82" s="226"/>
      <c r="G82" s="226"/>
    </row>
    <row r="83" spans="1:7" s="2" customFormat="1" ht="15">
      <c r="A83" s="53"/>
      <c r="G83" s="13"/>
    </row>
    <row r="84" s="2" customFormat="1" ht="15">
      <c r="A84" s="53"/>
    </row>
    <row r="85" s="2" customFormat="1" ht="15">
      <c r="A85" s="53"/>
    </row>
    <row r="86" s="2" customFormat="1" ht="15">
      <c r="A86" s="53"/>
    </row>
    <row r="87" spans="1:5" s="2" customFormat="1" ht="15">
      <c r="A87" s="227" t="s">
        <v>47</v>
      </c>
      <c r="B87" s="227"/>
      <c r="E87" s="2" t="s">
        <v>12</v>
      </c>
    </row>
    <row r="88" spans="1:5" s="2" customFormat="1" ht="15">
      <c r="A88" s="227" t="s">
        <v>1</v>
      </c>
      <c r="B88" s="227"/>
      <c r="E88" s="2" t="s">
        <v>210</v>
      </c>
    </row>
    <row r="89" spans="1:5" s="2" customFormat="1" ht="30" customHeight="1">
      <c r="A89" s="215" t="s">
        <v>71</v>
      </c>
      <c r="B89" s="215"/>
      <c r="C89" s="22"/>
      <c r="E89" s="2" t="s">
        <v>211</v>
      </c>
    </row>
    <row r="90" s="2" customFormat="1" ht="15">
      <c r="A90" s="53"/>
    </row>
    <row r="91" s="2" customFormat="1" ht="15">
      <c r="A91" s="53"/>
    </row>
    <row r="92" s="2" customFormat="1" ht="15">
      <c r="A92" s="53"/>
    </row>
    <row r="93" s="2" customFormat="1" ht="15">
      <c r="A93" s="53"/>
    </row>
  </sheetData>
  <sheetProtection/>
  <mergeCells count="17">
    <mergeCell ref="A88:B88"/>
    <mergeCell ref="A89:B89"/>
    <mergeCell ref="A82:D82"/>
    <mergeCell ref="A1:B1"/>
    <mergeCell ref="A3:E3"/>
    <mergeCell ref="A5:H5"/>
    <mergeCell ref="A6:H6"/>
    <mergeCell ref="E82:G82"/>
    <mergeCell ref="A87:B87"/>
    <mergeCell ref="F51:G51"/>
    <mergeCell ref="A68:G68"/>
    <mergeCell ref="F69:G69"/>
    <mergeCell ref="A76:C76"/>
    <mergeCell ref="A39:C39"/>
    <mergeCell ref="A41:H41"/>
    <mergeCell ref="A48:C48"/>
    <mergeCell ref="A50:G50"/>
  </mergeCells>
  <printOptions/>
  <pageMargins left="0.44" right="0.35" top="0.41" bottom="0.57" header="0.2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User</cp:lastModifiedBy>
  <cp:lastPrinted>2018-05-23T08:00:09Z</cp:lastPrinted>
  <dcterms:created xsi:type="dcterms:W3CDTF">2011-02-12T11:02:58Z</dcterms:created>
  <dcterms:modified xsi:type="dcterms:W3CDTF">2019-02-20T06:18:52Z</dcterms:modified>
  <cp:category/>
  <cp:version/>
  <cp:contentType/>
  <cp:contentStatus/>
</cp:coreProperties>
</file>