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4235" windowHeight="7650" tabRatio="601" activeTab="0"/>
  </bookViews>
  <sheets>
    <sheet name="Лист1" sheetId="1" r:id="rId1"/>
    <sheet name="Свод" sheetId="2" r:id="rId2"/>
    <sheet name="январь" sheetId="3" r:id="rId3"/>
    <sheet name="февраль" sheetId="4" r:id="rId4"/>
    <sheet name="март" sheetId="5" r:id="rId5"/>
    <sheet name="апрель" sheetId="6" r:id="rId6"/>
    <sheet name="май" sheetId="7" r:id="rId7"/>
    <sheet name="июнь" sheetId="8" r:id="rId8"/>
    <sheet name="июль" sheetId="9" r:id="rId9"/>
    <sheet name="август" sheetId="10" r:id="rId10"/>
    <sheet name="сентябрь" sheetId="11" r:id="rId11"/>
    <sheet name="октябрь" sheetId="12" r:id="rId12"/>
    <sheet name="ноябрь" sheetId="13" r:id="rId13"/>
    <sheet name="декабрь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<sst xmlns="http://schemas.openxmlformats.org/spreadsheetml/2006/main" count="2313" uniqueCount="211">
  <si>
    <t>Исполнитель:</t>
  </si>
  <si>
    <t>многоквартирного дома</t>
  </si>
  <si>
    <t>отчетный период</t>
  </si>
  <si>
    <t>№п/п</t>
  </si>
  <si>
    <t>Наименование работ</t>
  </si>
  <si>
    <t>ед. изм.</t>
  </si>
  <si>
    <t>кол-во</t>
  </si>
  <si>
    <t>примечание</t>
  </si>
  <si>
    <t>Заказчик:     Собственники жилого дома по адресу:</t>
  </si>
  <si>
    <t>раз</t>
  </si>
  <si>
    <t>Всего по инженерному оборудованию</t>
  </si>
  <si>
    <t>ИТОГО ПО АКТУ ВЫПОЛНЕННЫХ РАБОТ</t>
  </si>
  <si>
    <t>Обслуживающая организация</t>
  </si>
  <si>
    <t>Санитарное содержание придомовой территории в соответствии с ПиН</t>
  </si>
  <si>
    <t>Санитарное содержание подъездов в соответствии с ПиН</t>
  </si>
  <si>
    <t>мес.</t>
  </si>
  <si>
    <t>стоимость 
работ, руб</t>
  </si>
  <si>
    <t>Итого</t>
  </si>
  <si>
    <t>Вывоз и утилизация ТБО</t>
  </si>
  <si>
    <t>Дератизация, дезинсекция</t>
  </si>
  <si>
    <t>Содержание и эксплуатация лифтов</t>
  </si>
  <si>
    <t>Содержание и обслуживание мусоро- провода в соответствии с ПиН</t>
  </si>
  <si>
    <t>1. Благоустройство и обеспечение санитарного состояния жилых зданий и придомовых территорий</t>
  </si>
  <si>
    <t>1.1</t>
  </si>
  <si>
    <t>1.2</t>
  </si>
  <si>
    <t>1.3</t>
  </si>
  <si>
    <t>1.4</t>
  </si>
  <si>
    <t>1.5</t>
  </si>
  <si>
    <t>1.6</t>
  </si>
  <si>
    <t>1.7</t>
  </si>
  <si>
    <t>1.8</t>
  </si>
  <si>
    <t>2. Эксплуатация, содержание и текущий ремонт инженерного оборудования</t>
  </si>
  <si>
    <t>Всего по благоустройству и санитарному содержанию</t>
  </si>
  <si>
    <t>2.1</t>
  </si>
  <si>
    <t>2.2</t>
  </si>
  <si>
    <t>2.3</t>
  </si>
  <si>
    <t>2.4</t>
  </si>
  <si>
    <t>3. Эксплуатация, содержание и текущий ремонт конструктивных элементов здания</t>
  </si>
  <si>
    <t>стоимость
материалов руб</t>
  </si>
  <si>
    <t>Наименование услуги</t>
  </si>
  <si>
    <t>Всего по конструктивным элементам</t>
  </si>
  <si>
    <t>3.1</t>
  </si>
  <si>
    <t>3.2</t>
  </si>
  <si>
    <t>Транспортные расходы</t>
  </si>
  <si>
    <t>стоимость работ, руб</t>
  </si>
  <si>
    <t>Примечание</t>
  </si>
  <si>
    <t>Представитель собственников</t>
  </si>
  <si>
    <t>Дополнительные работы:</t>
  </si>
  <si>
    <t>Вывоз КГО</t>
  </si>
  <si>
    <t>Обслуживание домофона</t>
  </si>
  <si>
    <t>Аварийные работы (канализ.)</t>
  </si>
  <si>
    <t>услуги по начислению платежей и взносов</t>
  </si>
  <si>
    <t>услуги паспортного стола</t>
  </si>
  <si>
    <t>транспортные расходы</t>
  </si>
  <si>
    <t>Вознаграждение председателю совета МКД</t>
  </si>
  <si>
    <t>Электроэнергия</t>
  </si>
  <si>
    <t xml:space="preserve">Отопление </t>
  </si>
  <si>
    <t>Горячая вода</t>
  </si>
  <si>
    <t xml:space="preserve">Холодная вода </t>
  </si>
  <si>
    <t>Водоотведение</t>
  </si>
  <si>
    <t>Всего по коммунальным услугам</t>
  </si>
  <si>
    <t>банковские услуги</t>
  </si>
  <si>
    <t>канцтовары</t>
  </si>
  <si>
    <t>обновление и содержание програмного
обеспечения, оргтехники</t>
  </si>
  <si>
    <t>4.1</t>
  </si>
  <si>
    <t>4.2</t>
  </si>
  <si>
    <t>4.3</t>
  </si>
  <si>
    <t>4.4</t>
  </si>
  <si>
    <t>юридические услуги</t>
  </si>
  <si>
    <t>4.5</t>
  </si>
  <si>
    <t>__________________/_______________/</t>
  </si>
  <si>
    <t>услуги связи</t>
  </si>
  <si>
    <t>Прочие затраты</t>
  </si>
  <si>
    <t>налоги</t>
  </si>
  <si>
    <t>почтовые расходы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</si>
  <si>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</si>
  <si>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</si>
  <si>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</si>
  <si>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</si>
  <si>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</si>
  <si>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</si>
  <si>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</si>
  <si>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</si>
  <si>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</si>
  <si>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</si>
  <si>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</si>
  <si>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</si>
  <si>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</si>
  <si>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</si>
  <si>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</si>
  <si>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</si>
  <si>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</si>
  <si>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>Содержание и уборка м/проводов</t>
  </si>
  <si>
    <t>Содержание и ремонт лифтов</t>
  </si>
  <si>
    <t xml:space="preserve"> </t>
  </si>
  <si>
    <t>Домофон</t>
  </si>
  <si>
    <t>Прочие</t>
  </si>
  <si>
    <t>Итого доходов по ЖУ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</si>
  <si>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</si>
  <si>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</si>
  <si>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</si>
  <si>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</si>
  <si>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Холодная вода ОДН</t>
  </si>
  <si>
    <t>Водоотведение ОДН</t>
  </si>
  <si>
    <t>Электроэнергия ОДН</t>
  </si>
  <si>
    <t>Отопление</t>
  </si>
  <si>
    <t>Горячая вода ОДН</t>
  </si>
  <si>
    <t>Дотации</t>
  </si>
  <si>
    <t>отопление</t>
  </si>
  <si>
    <t>г/вода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</si>
  <si>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</si>
  <si>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</si>
  <si>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</si>
  <si>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</si>
  <si>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</si>
  <si>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</si>
  <si>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Всего расходов по дому</t>
  </si>
  <si>
    <t>Экономия(+),перерасход(-) 
в целом по дому</t>
  </si>
  <si>
    <t>Недоборы</t>
  </si>
  <si>
    <t xml:space="preserve">х/вода </t>
  </si>
  <si>
    <t xml:space="preserve"> водоотведение</t>
  </si>
  <si>
    <t>электроэнергия</t>
  </si>
  <si>
    <t>Директор</t>
  </si>
  <si>
    <t>Г.М.Жериченко</t>
  </si>
  <si>
    <t>Гл.бухгалтер</t>
  </si>
  <si>
    <t>Т.В. Табаргина</t>
  </si>
  <si>
    <t>горячая вода</t>
  </si>
  <si>
    <t>уборщик территории</t>
  </si>
  <si>
    <t>уборщик лестничных клеток</t>
  </si>
  <si>
    <t>материалы, инвентарь</t>
  </si>
  <si>
    <t>охрана труда и техника безопасности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</si>
  <si>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</si>
  <si>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</si>
  <si>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</si>
  <si>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уборщик мусоропровода</t>
  </si>
  <si>
    <t>1.9</t>
  </si>
  <si>
    <t>1.10</t>
  </si>
  <si>
    <t>аварийные работы (канализация)</t>
  </si>
  <si>
    <t>2.5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</si>
  <si>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</si>
  <si>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</si>
  <si>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</si>
  <si>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прочие затраты</t>
  </si>
  <si>
    <t>Админ.-управленческое и инженерно-
техническое сопровождение</t>
  </si>
  <si>
    <t>Услуги по начислению платежей и взносов</t>
  </si>
  <si>
    <t>Услуги паспортного стола</t>
  </si>
  <si>
    <t>канцтовары, материалы</t>
  </si>
  <si>
    <t>Итого расходов по ЖУ</t>
  </si>
  <si>
    <t>Итого расходов по КУ</t>
  </si>
  <si>
    <t>Содержание и ремонт мест общего пользов.</t>
  </si>
  <si>
    <t>выполненных работ по содержанию и текущему ремонту общего имущества МКД</t>
  </si>
  <si>
    <t>Зксплуатация, содержание и текущий ремонт сантехоборудования в соответствии с ПиН</t>
  </si>
  <si>
    <t>Зксплуатация, содержание и текущий ремонт электрооборудования в соответствии с ПиН</t>
  </si>
  <si>
    <t>админ.-управленческое и инженерно-техниче- ское сопровождение</t>
  </si>
  <si>
    <t>Зксплуатация, содержание и текущий ремонт конструкт. элементов в соответствии с ПиН</t>
  </si>
  <si>
    <t>4. Прочие услуги</t>
  </si>
  <si>
    <t>Всего прочих услуг</t>
  </si>
  <si>
    <t>5.</t>
  </si>
  <si>
    <t>6. Коммунальные услуги</t>
  </si>
  <si>
    <t>ул. Челюскина,38</t>
  </si>
  <si>
    <t>Покос травы</t>
  </si>
  <si>
    <t>ПАО "Вымпел Коммуникации"</t>
  </si>
  <si>
    <t>ООО "Каскад-Сервис"</t>
  </si>
  <si>
    <t>Механизированная уборка снега</t>
  </si>
  <si>
    <t>АКТ № 01/38 от  31 января 2017г.</t>
  </si>
  <si>
    <t>01.01.2017 - 31.01.2017</t>
  </si>
  <si>
    <t>АКТ № 02/38 от  29 февраля 2017г.</t>
  </si>
  <si>
    <t>01.02.2017 - 29.02.2017</t>
  </si>
  <si>
    <t>АКТ № 03/38 от  31 марта 2017г.</t>
  </si>
  <si>
    <t>01.03.2017 - 31.03.2017</t>
  </si>
  <si>
    <t>АКТ № 04/38 от  30 апреля 2017г.</t>
  </si>
  <si>
    <t>01.04.2017 - 30.04.2017</t>
  </si>
  <si>
    <t>АКТ № 05/38 от  31 мая 2017г.</t>
  </si>
  <si>
    <t>01.05.2017 - 31.05.2017</t>
  </si>
  <si>
    <t>АКТ № 06/38 от  30 июня 2017г.</t>
  </si>
  <si>
    <t>01.06.2017 - 30.06.2017</t>
  </si>
  <si>
    <t>АКТ № 07/38 от  31 июля 2017г.</t>
  </si>
  <si>
    <t>01.07.2017 - 31.07.2017</t>
  </si>
  <si>
    <t>АКТ № 08/38 от  31 августа 2017г.</t>
  </si>
  <si>
    <t>01.08.2017 - 31.08.2017</t>
  </si>
  <si>
    <t>АКТ № 09/38 от  30 сентября  2017г.</t>
  </si>
  <si>
    <t>01.09.2017 - 30.09.2017</t>
  </si>
  <si>
    <t>АКТ № 10/38 от  31 октября 2017г.</t>
  </si>
  <si>
    <t>01.10.2017 - 31.10.2017</t>
  </si>
  <si>
    <t>АКТ № 11/38 от  30 ноября 2017г.</t>
  </si>
  <si>
    <t>01.11.2017 - 30.11.2017</t>
  </si>
  <si>
    <t>АКТ № 12/38 от  31 декабря 2017г.</t>
  </si>
  <si>
    <t>01.12.2017 - 31.12.2017</t>
  </si>
  <si>
    <t>1.11</t>
  </si>
  <si>
    <t>1.12</t>
  </si>
  <si>
    <t>1.13</t>
  </si>
  <si>
    <t>1.14</t>
  </si>
  <si>
    <t>Свод доходов по ул.Челюскина,38  за 2017 год.</t>
  </si>
  <si>
    <t>Сальдо на
01.01.2017г</t>
  </si>
  <si>
    <t>РАСШИФРОВКА РАСХОДОВ  ул.Челюскина,38 за 2017 год.</t>
  </si>
  <si>
    <t>Холодная вода ОДН ЖУ</t>
  </si>
  <si>
    <t>Горячая вода ОДН ЖУ</t>
  </si>
  <si>
    <t>Электроэнергия ОДН ЖУ</t>
  </si>
  <si>
    <t>Водоотведение ОДН ЖУ</t>
  </si>
  <si>
    <t>ОООУК "Каскад-Сервис"</t>
  </si>
  <si>
    <r>
      <t xml:space="preserve">____________________/ </t>
    </r>
    <r>
      <rPr>
        <u val="single"/>
        <sz val="11"/>
        <color indexed="8"/>
        <rFont val="Times New Roman"/>
        <family val="1"/>
      </rPr>
      <t>В.А.Пянзина</t>
    </r>
    <r>
      <rPr>
        <sz val="11"/>
        <color indexed="8"/>
        <rFont val="Times New Roman"/>
        <family val="1"/>
      </rPr>
      <t>/</t>
    </r>
  </si>
  <si>
    <t>Вознаграждение председателю с/д</t>
  </si>
  <si>
    <t>ООО УК"Каскад-Сервис"</t>
  </si>
  <si>
    <t>Установка ограждения во доре дома</t>
  </si>
  <si>
    <t>Установка ограждения во дворе дома</t>
  </si>
  <si>
    <t>Монтаж отопительных приборов в подъездах</t>
  </si>
  <si>
    <t>Ремонт подъездных козырьков</t>
  </si>
  <si>
    <t>Косметический ремонт подъезда</t>
  </si>
  <si>
    <t>Ремонт крыльца 1 и 2 подъездов</t>
  </si>
  <si>
    <t>Сбор и транспортировка ТКО</t>
  </si>
  <si>
    <t>В.А.Пянзина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</si>
</sst>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12"/>
      <name val="Times New Roman"/>
      <family val="1"/>
    </font>
    <font>
      <i/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64" fontId="1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2" fontId="16" fillId="0" borderId="0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2" fontId="21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2" fontId="17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2" fontId="23" fillId="0" borderId="13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/>
    </xf>
    <xf numFmtId="2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25" fillId="0" borderId="10" xfId="0" applyNumberFormat="1" applyFont="1" applyFill="1" applyBorder="1" applyAlignment="1">
      <alignment/>
    </xf>
    <xf numFmtId="2" fontId="25" fillId="0" borderId="0" xfId="0" applyNumberFormat="1" applyFont="1" applyFill="1" applyAlignment="1">
      <alignment/>
    </xf>
    <xf numFmtId="2" fontId="23" fillId="0" borderId="15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wrapText="1"/>
    </xf>
    <xf numFmtId="2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6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4" fillId="0" borderId="16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left"/>
    </xf>
    <xf numFmtId="2" fontId="29" fillId="0" borderId="10" xfId="0" applyNumberFormat="1" applyFont="1" applyFill="1" applyBorder="1" applyAlignment="1">
      <alignment horizontal="right"/>
    </xf>
    <xf numFmtId="2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 horizontal="righ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/>
    </xf>
    <xf numFmtId="2" fontId="28" fillId="0" borderId="10" xfId="0" applyNumberFormat="1" applyFont="1" applyFill="1" applyBorder="1" applyAlignment="1">
      <alignment horizontal="right"/>
    </xf>
    <xf numFmtId="2" fontId="28" fillId="0" borderId="11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righ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right"/>
    </xf>
    <xf numFmtId="2" fontId="29" fillId="0" borderId="11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/>
    </xf>
    <xf numFmtId="0" fontId="17" fillId="24" borderId="0" xfId="0" applyFont="1" applyFill="1" applyAlignment="1">
      <alignment horizontal="left"/>
    </xf>
    <xf numFmtId="49" fontId="14" fillId="0" borderId="16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28" fillId="0" borderId="11" xfId="0" applyFont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2" fontId="28" fillId="0" borderId="11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2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right"/>
    </xf>
    <xf numFmtId="0" fontId="29" fillId="0" borderId="11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2" fontId="28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2" fillId="0" borderId="16" xfId="0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34" fillId="0" borderId="0" xfId="0" applyFont="1" applyFill="1" applyAlignment="1">
      <alignment horizontal="left"/>
    </xf>
    <xf numFmtId="2" fontId="29" fillId="0" borderId="10" xfId="0" applyNumberFormat="1" applyFont="1" applyBorder="1" applyAlignment="1">
      <alignment/>
    </xf>
    <xf numFmtId="0" fontId="9" fillId="0" borderId="13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10" xfId="0" applyFont="1" applyBorder="1" applyAlignment="1">
      <alignment/>
    </xf>
    <xf numFmtId="2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6" fillId="0" borderId="10" xfId="0" applyFont="1" applyFill="1" applyBorder="1" applyAlignment="1">
      <alignment wrapText="1"/>
    </xf>
    <xf numFmtId="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28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35" fillId="0" borderId="11" xfId="0" applyFont="1" applyFill="1" applyBorder="1" applyAlignment="1">
      <alignment horizontal="right"/>
    </xf>
    <xf numFmtId="2" fontId="35" fillId="0" borderId="10" xfId="0" applyNumberFormat="1" applyFont="1" applyFill="1" applyBorder="1" applyAlignment="1">
      <alignment horizontal="right"/>
    </xf>
    <xf numFmtId="2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left"/>
    </xf>
    <xf numFmtId="9" fontId="24" fillId="0" borderId="10" xfId="0" applyNumberFormat="1" applyFont="1" applyFill="1" applyBorder="1" applyAlignment="1">
      <alignment horizontal="left"/>
    </xf>
    <xf numFmtId="2" fontId="35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2" fontId="23" fillId="0" borderId="11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3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3" fillId="0" borderId="16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14" fillId="0" borderId="16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9;&#1082;&#1072;&#1076;\&#1058;&#1045;&#1050;&#1059;&#1063;&#1050;&#1040;%20&#1047;&#1040;%202014%20&#1075;&#1086;&#1076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М.8а"/>
      <sheetName val="расходы"/>
      <sheetName val="Свод "/>
      <sheetName val="Б-10А"/>
      <sheetName val="10А"/>
      <sheetName val="Б-10Б"/>
      <sheetName val="Лист4"/>
      <sheetName val="Лист3"/>
      <sheetName val="10Б"/>
      <sheetName val="К-17А"/>
      <sheetName val="Лист2"/>
      <sheetName val="17А"/>
      <sheetName val="К-17Б"/>
      <sheetName val="17Б"/>
      <sheetName val="К-19Б"/>
      <sheetName val="19Б"/>
      <sheetName val="Ст-42"/>
      <sheetName val="42"/>
      <sheetName val="Сп-4"/>
      <sheetName val="4"/>
      <sheetName val="1Мая-13"/>
      <sheetName val="13"/>
      <sheetName val="К.М14А"/>
      <sheetName val="14А"/>
      <sheetName val="Ч-22"/>
      <sheetName val="22"/>
      <sheetName val="Ч-28А "/>
      <sheetName val="28А"/>
      <sheetName val="Ч-38"/>
      <sheetName val="38"/>
      <sheetName val="Ч-32"/>
      <sheetName val="гараж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pane xSplit="3" ySplit="2" topLeftCell="P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T95" sqref="T95"/>
    </sheetView>
  </sheetViews>
  <sheetFormatPr defaultColWidth="9.140625" defaultRowHeight="15"/>
  <cols>
    <col min="1" max="1" width="4.00390625" style="127" customWidth="1"/>
    <col min="2" max="2" width="41.7109375" style="127" customWidth="1"/>
    <col min="3" max="3" width="13.140625" style="127" customWidth="1"/>
    <col min="4" max="4" width="12.00390625" style="127" hidden="1" customWidth="1"/>
    <col min="5" max="6" width="10.7109375" style="127" hidden="1" customWidth="1"/>
    <col min="7" max="7" width="0.13671875" style="127" hidden="1" customWidth="1"/>
    <col min="8" max="8" width="10.7109375" style="127" hidden="1" customWidth="1"/>
    <col min="9" max="10" width="11.57421875" style="127" hidden="1" customWidth="1"/>
    <col min="11" max="11" width="10.7109375" style="127" hidden="1" customWidth="1"/>
    <col min="12" max="12" width="11.28125" style="127" hidden="1" customWidth="1"/>
    <col min="13" max="13" width="10.7109375" style="127" hidden="1" customWidth="1"/>
    <col min="14" max="14" width="12.00390625" style="127" hidden="1" customWidth="1"/>
    <col min="15" max="15" width="12.421875" style="127" hidden="1" customWidth="1"/>
    <col min="16" max="16" width="14.00390625" style="127" customWidth="1"/>
    <col min="17" max="17" width="14.421875" style="127" bestFit="1" customWidth="1"/>
    <col min="18" max="18" width="13.00390625" style="127" bestFit="1" customWidth="1"/>
    <col min="19" max="16384" width="9.140625" style="127" customWidth="1"/>
  </cols>
  <sheetData>
    <row r="1" spans="2:18" s="59" customFormat="1" ht="20.25" customHeight="1">
      <c r="B1" s="199" t="s">
        <v>192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2:18" s="64" customFormat="1" ht="76.5">
      <c r="B2" s="65"/>
      <c r="C2" s="66" t="s">
        <v>193</v>
      </c>
      <c r="D2" s="67" t="s">
        <v>76</v>
      </c>
      <c r="E2" s="67" t="s">
        <v>77</v>
      </c>
      <c r="F2" s="67" t="s">
        <v>78</v>
      </c>
      <c r="G2" s="67" t="s">
        <v>79</v>
      </c>
      <c r="H2" s="67" t="s">
        <v>80</v>
      </c>
      <c r="I2" s="67" t="s">
        <v>81</v>
      </c>
      <c r="J2" s="67" t="s">
        <v>82</v>
      </c>
      <c r="K2" s="67" t="s">
        <v>83</v>
      </c>
      <c r="L2" s="67" t="s">
        <v>84</v>
      </c>
      <c r="M2" s="67" t="s">
        <v>85</v>
      </c>
      <c r="N2" s="67" t="s">
        <v>86</v>
      </c>
      <c r="O2" s="67" t="s">
        <v>87</v>
      </c>
      <c r="P2" s="67" t="s">
        <v>88</v>
      </c>
      <c r="Q2" s="66" t="s">
        <v>89</v>
      </c>
      <c r="R2" s="66" t="s">
        <v>90</v>
      </c>
    </row>
    <row r="3" spans="2:17" s="69" customFormat="1" ht="15.75">
      <c r="B3" s="70" t="s">
        <v>91</v>
      </c>
      <c r="C3" s="71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4"/>
    </row>
    <row r="4" spans="2:18" s="76" customFormat="1" ht="15.75">
      <c r="B4" s="77" t="s">
        <v>149</v>
      </c>
      <c r="C4" s="78"/>
      <c r="D4" s="78"/>
      <c r="E4" s="78"/>
      <c r="F4" s="78"/>
      <c r="G4" s="78"/>
      <c r="H4" s="78">
        <v>61146.88</v>
      </c>
      <c r="I4" s="78">
        <v>61513.74</v>
      </c>
      <c r="J4" s="78">
        <v>60675.56</v>
      </c>
      <c r="K4" s="78">
        <v>60798.24</v>
      </c>
      <c r="L4" s="78">
        <v>61148.24</v>
      </c>
      <c r="M4" s="78">
        <v>61148.24</v>
      </c>
      <c r="N4" s="78">
        <v>61148.24</v>
      </c>
      <c r="O4" s="78">
        <f>61124.76-365.5</f>
        <v>60759.26</v>
      </c>
      <c r="P4" s="79">
        <f>SUM(D4:O4)</f>
        <v>488338.39999999997</v>
      </c>
      <c r="Q4" s="79">
        <v>374917.29</v>
      </c>
      <c r="R4" s="78">
        <f>C4+P4-Q4</f>
        <v>113421.10999999999</v>
      </c>
    </row>
    <row r="5" spans="2:18" s="76" customFormat="1" ht="15.75">
      <c r="B5" s="77" t="s">
        <v>209</v>
      </c>
      <c r="C5" s="78"/>
      <c r="D5" s="78"/>
      <c r="E5" s="78"/>
      <c r="F5" s="78"/>
      <c r="G5" s="78"/>
      <c r="H5" s="78">
        <v>10024.08</v>
      </c>
      <c r="I5" s="78">
        <v>10039.99</v>
      </c>
      <c r="J5" s="78">
        <v>10010.52</v>
      </c>
      <c r="K5" s="78">
        <v>10024.3</v>
      </c>
      <c r="L5" s="78">
        <v>10024.3</v>
      </c>
      <c r="M5" s="78">
        <v>10024.3</v>
      </c>
      <c r="N5" s="78">
        <v>10024.3</v>
      </c>
      <c r="O5" s="78">
        <f>10024.3-15.69</f>
        <v>10008.609999999999</v>
      </c>
      <c r="P5" s="79">
        <f aca="true" t="shared" si="0" ref="P5:P23">SUM(D5:O5)</f>
        <v>80180.40000000001</v>
      </c>
      <c r="Q5" s="79">
        <v>61864.37</v>
      </c>
      <c r="R5" s="78">
        <f aca="true" t="shared" si="1" ref="R5:R23">C5+P5-Q5</f>
        <v>18316.030000000006</v>
      </c>
    </row>
    <row r="6" spans="2:18" s="76" customFormat="1" ht="15.75">
      <c r="B6" s="77" t="s">
        <v>93</v>
      </c>
      <c r="C6" s="78"/>
      <c r="D6" s="78"/>
      <c r="E6" s="78"/>
      <c r="F6" s="78"/>
      <c r="G6" s="78"/>
      <c r="H6" s="78">
        <v>18500.16</v>
      </c>
      <c r="I6" s="78">
        <v>18500.64</v>
      </c>
      <c r="J6" s="78">
        <v>18346.25</v>
      </c>
      <c r="K6" s="78">
        <v>18500.64</v>
      </c>
      <c r="L6" s="78">
        <v>18500.64</v>
      </c>
      <c r="M6" s="78">
        <v>18500.64</v>
      </c>
      <c r="N6" s="78">
        <v>18500.64</v>
      </c>
      <c r="O6" s="78">
        <v>18500.64</v>
      </c>
      <c r="P6" s="79">
        <f t="shared" si="0"/>
        <v>147850.25</v>
      </c>
      <c r="Q6" s="79">
        <v>118689.02</v>
      </c>
      <c r="R6" s="78">
        <f t="shared" si="1"/>
        <v>29161.229999999996</v>
      </c>
    </row>
    <row r="7" spans="2:18" s="76" customFormat="1" ht="15.75">
      <c r="B7" s="77" t="s">
        <v>95</v>
      </c>
      <c r="C7" s="78"/>
      <c r="D7" s="78"/>
      <c r="E7" s="78"/>
      <c r="F7" s="78"/>
      <c r="G7" s="78"/>
      <c r="H7" s="78">
        <v>4806</v>
      </c>
      <c r="I7" s="78">
        <v>4649.25</v>
      </c>
      <c r="J7" s="78">
        <v>4656.94</v>
      </c>
      <c r="K7" s="78">
        <v>4713.5</v>
      </c>
      <c r="L7" s="78">
        <v>4713.5</v>
      </c>
      <c r="M7" s="78">
        <v>4221.5</v>
      </c>
      <c r="N7" s="78">
        <v>4344.5</v>
      </c>
      <c r="O7" s="78">
        <f>4518.56+156.75</f>
        <v>4675.31</v>
      </c>
      <c r="P7" s="79">
        <f t="shared" si="0"/>
        <v>36780.5</v>
      </c>
      <c r="Q7" s="79">
        <v>27733.57</v>
      </c>
      <c r="R7" s="78">
        <f t="shared" si="1"/>
        <v>9046.93</v>
      </c>
    </row>
    <row r="8" spans="2:18" s="76" customFormat="1" ht="15.75">
      <c r="B8" s="77" t="s">
        <v>195</v>
      </c>
      <c r="C8" s="78"/>
      <c r="D8" s="78"/>
      <c r="E8" s="78"/>
      <c r="F8" s="78"/>
      <c r="G8" s="78"/>
      <c r="H8" s="78">
        <v>273.35</v>
      </c>
      <c r="I8" s="78">
        <v>244.04</v>
      </c>
      <c r="J8" s="78">
        <v>243.6</v>
      </c>
      <c r="K8" s="78">
        <v>273.36</v>
      </c>
      <c r="L8" s="78">
        <v>273.36</v>
      </c>
      <c r="M8" s="78">
        <v>273.36</v>
      </c>
      <c r="N8" s="78">
        <v>273.36</v>
      </c>
      <c r="O8" s="78">
        <v>273.36</v>
      </c>
      <c r="P8" s="79">
        <f t="shared" si="0"/>
        <v>2127.7900000000004</v>
      </c>
      <c r="Q8" s="79">
        <v>1640.27</v>
      </c>
      <c r="R8" s="78">
        <f t="shared" si="1"/>
        <v>487.52000000000044</v>
      </c>
    </row>
    <row r="9" spans="2:18" s="76" customFormat="1" ht="15.75">
      <c r="B9" s="77" t="s">
        <v>196</v>
      </c>
      <c r="C9" s="78"/>
      <c r="D9" s="78"/>
      <c r="E9" s="78"/>
      <c r="F9" s="78"/>
      <c r="G9" s="78"/>
      <c r="H9" s="78">
        <v>820.16</v>
      </c>
      <c r="I9" s="78">
        <v>1218.08</v>
      </c>
      <c r="J9" s="78">
        <v>-1268.06</v>
      </c>
      <c r="K9" s="78">
        <v>774.73</v>
      </c>
      <c r="L9" s="78">
        <v>774.73</v>
      </c>
      <c r="M9" s="78">
        <v>774.73</v>
      </c>
      <c r="N9" s="78">
        <v>774.73</v>
      </c>
      <c r="O9" s="78">
        <v>774.73</v>
      </c>
      <c r="P9" s="79">
        <f t="shared" si="0"/>
        <v>4643.83</v>
      </c>
      <c r="Q9" s="79">
        <v>3833.08</v>
      </c>
      <c r="R9" s="78">
        <f t="shared" si="1"/>
        <v>810.75</v>
      </c>
    </row>
    <row r="10" spans="2:18" s="76" customFormat="1" ht="15.75">
      <c r="B10" s="77" t="s">
        <v>197</v>
      </c>
      <c r="C10" s="78"/>
      <c r="D10" s="78"/>
      <c r="E10" s="78"/>
      <c r="F10" s="78"/>
      <c r="G10" s="78"/>
      <c r="H10" s="78">
        <v>7016.89</v>
      </c>
      <c r="I10" s="78">
        <v>10120.1</v>
      </c>
      <c r="J10" s="78">
        <v>10063.46</v>
      </c>
      <c r="K10" s="78">
        <v>10252.42</v>
      </c>
      <c r="L10" s="78">
        <v>10252.42</v>
      </c>
      <c r="M10" s="78">
        <v>-12849.33</v>
      </c>
      <c r="N10" s="78">
        <v>6424.75</v>
      </c>
      <c r="O10" s="78">
        <f>-1366.95+314.41</f>
        <v>-1052.54</v>
      </c>
      <c r="P10" s="79">
        <f t="shared" si="0"/>
        <v>40228.17</v>
      </c>
      <c r="Q10" s="79">
        <v>41234.21</v>
      </c>
      <c r="R10" s="78">
        <f t="shared" si="1"/>
        <v>-1006.0400000000009</v>
      </c>
    </row>
    <row r="11" spans="2:18" s="76" customFormat="1" ht="15.75">
      <c r="B11" s="77" t="s">
        <v>198</v>
      </c>
      <c r="C11" s="78"/>
      <c r="D11" s="78"/>
      <c r="E11" s="78"/>
      <c r="F11" s="78"/>
      <c r="G11" s="78"/>
      <c r="H11" s="78"/>
      <c r="I11" s="78">
        <f>379.24+5.97</f>
        <v>385.21000000000004</v>
      </c>
      <c r="J11" s="78">
        <v>385.21</v>
      </c>
      <c r="K11" s="78">
        <v>385.21</v>
      </c>
      <c r="L11" s="78">
        <v>385.21</v>
      </c>
      <c r="M11" s="78">
        <v>385.21</v>
      </c>
      <c r="N11" s="78">
        <v>385.21</v>
      </c>
      <c r="O11" s="78">
        <v>385.21</v>
      </c>
      <c r="P11" s="79">
        <f t="shared" si="0"/>
        <v>2696.4700000000003</v>
      </c>
      <c r="Q11" s="79">
        <v>1884.51</v>
      </c>
      <c r="R11" s="78">
        <f t="shared" si="1"/>
        <v>811.9600000000003</v>
      </c>
    </row>
    <row r="12" spans="2:18" s="76" customFormat="1" ht="15.75">
      <c r="B12" s="77" t="s">
        <v>201</v>
      </c>
      <c r="C12" s="78"/>
      <c r="D12" s="78"/>
      <c r="E12" s="78"/>
      <c r="F12" s="78"/>
      <c r="G12" s="78"/>
      <c r="H12" s="78">
        <v>4815.2</v>
      </c>
      <c r="I12" s="78">
        <v>4815.3</v>
      </c>
      <c r="J12" s="78">
        <v>4815.3</v>
      </c>
      <c r="K12" s="78">
        <v>4815.3</v>
      </c>
      <c r="L12" s="78">
        <v>4815.3</v>
      </c>
      <c r="M12" s="78">
        <v>4815.3</v>
      </c>
      <c r="N12" s="78">
        <v>4815.3</v>
      </c>
      <c r="O12" s="78">
        <v>4815.3</v>
      </c>
      <c r="P12" s="79">
        <f t="shared" si="0"/>
        <v>38522.3</v>
      </c>
      <c r="Q12" s="79">
        <v>27297.32</v>
      </c>
      <c r="R12" s="78">
        <f t="shared" si="1"/>
        <v>11224.980000000003</v>
      </c>
    </row>
    <row r="13" spans="2:18" s="76" customFormat="1" ht="15.75">
      <c r="B13" s="77" t="s">
        <v>96</v>
      </c>
      <c r="C13" s="78"/>
      <c r="D13" s="78"/>
      <c r="E13" s="78"/>
      <c r="F13" s="78"/>
      <c r="G13" s="78"/>
      <c r="H13" s="78">
        <v>600</v>
      </c>
      <c r="I13" s="78">
        <v>600</v>
      </c>
      <c r="J13" s="78">
        <v>600</v>
      </c>
      <c r="K13" s="78">
        <f>600+250</f>
        <v>850</v>
      </c>
      <c r="L13" s="78">
        <f>600+250</f>
        <v>850</v>
      </c>
      <c r="M13" s="78">
        <v>6066</v>
      </c>
      <c r="N13" s="78">
        <v>6066</v>
      </c>
      <c r="O13" s="78">
        <v>6068</v>
      </c>
      <c r="P13" s="79">
        <f t="shared" si="0"/>
        <v>21700</v>
      </c>
      <c r="Q13" s="78">
        <v>6200</v>
      </c>
      <c r="R13" s="78">
        <f t="shared" si="1"/>
        <v>15500</v>
      </c>
    </row>
    <row r="14" spans="2:18" s="76" customFormat="1" ht="15.75">
      <c r="B14" s="77" t="s">
        <v>161</v>
      </c>
      <c r="C14" s="78"/>
      <c r="D14" s="78"/>
      <c r="E14" s="78"/>
      <c r="F14" s="78"/>
      <c r="G14" s="78"/>
      <c r="H14" s="78">
        <v>10000</v>
      </c>
      <c r="I14" s="78">
        <v>10000</v>
      </c>
      <c r="J14" s="78">
        <v>10000</v>
      </c>
      <c r="K14" s="78">
        <v>10000</v>
      </c>
      <c r="L14" s="78">
        <v>10000</v>
      </c>
      <c r="M14" s="78">
        <v>10000</v>
      </c>
      <c r="N14" s="78">
        <v>10000</v>
      </c>
      <c r="O14" s="78">
        <v>10000</v>
      </c>
      <c r="P14" s="79">
        <f t="shared" si="0"/>
        <v>80000</v>
      </c>
      <c r="Q14" s="78"/>
      <c r="R14" s="78">
        <f t="shared" si="1"/>
        <v>80000</v>
      </c>
    </row>
    <row r="15" spans="2:18" s="76" customFormat="1" ht="15.75">
      <c r="B15" s="192">
        <v>0.15</v>
      </c>
      <c r="C15" s="78"/>
      <c r="D15" s="78">
        <f>-(D13+D14)*15%</f>
        <v>0</v>
      </c>
      <c r="E15" s="78">
        <f>-(E13+E14)*15%</f>
        <v>0</v>
      </c>
      <c r="F15" s="78">
        <f>-(F13+F14)*15%</f>
        <v>0</v>
      </c>
      <c r="G15" s="78">
        <f aca="true" t="shared" si="2" ref="G15:N15">-(G13+G14)*15%</f>
        <v>0</v>
      </c>
      <c r="H15" s="78">
        <f t="shared" si="2"/>
        <v>-1590</v>
      </c>
      <c r="I15" s="78">
        <f t="shared" si="2"/>
        <v>-1590</v>
      </c>
      <c r="J15" s="78">
        <f t="shared" si="2"/>
        <v>-1590</v>
      </c>
      <c r="K15" s="78">
        <f t="shared" si="2"/>
        <v>-1627.5</v>
      </c>
      <c r="L15" s="78">
        <f t="shared" si="2"/>
        <v>-1627.5</v>
      </c>
      <c r="M15" s="78">
        <f t="shared" si="2"/>
        <v>-2409.9</v>
      </c>
      <c r="N15" s="78">
        <f t="shared" si="2"/>
        <v>-2409.9</v>
      </c>
      <c r="O15" s="78">
        <f>-(O13+O14)*15%</f>
        <v>-2410.2</v>
      </c>
      <c r="P15" s="79">
        <f t="shared" si="0"/>
        <v>-15255</v>
      </c>
      <c r="Q15" s="78"/>
      <c r="R15" s="78">
        <f t="shared" si="1"/>
        <v>-15255</v>
      </c>
    </row>
    <row r="16" spans="2:18" s="81" customFormat="1" ht="15.75">
      <c r="B16" s="191" t="s">
        <v>97</v>
      </c>
      <c r="C16" s="83">
        <f>SUM(C4:C15)</f>
        <v>0</v>
      </c>
      <c r="D16" s="83">
        <f>SUM(D4:D15)</f>
        <v>0</v>
      </c>
      <c r="E16" s="83">
        <f>SUM(E4:E15)</f>
        <v>0</v>
      </c>
      <c r="F16" s="83">
        <f>SUM(F4:F15)</f>
        <v>0</v>
      </c>
      <c r="G16" s="83">
        <f>SUM(G4:G15)</f>
        <v>0</v>
      </c>
      <c r="H16" s="83">
        <f aca="true" t="shared" si="3" ref="H16:P16">H4+H5+H6+H7+H8+H9+H10+H11+H12+H13+H14+H15</f>
        <v>116412.72</v>
      </c>
      <c r="I16" s="83">
        <f t="shared" si="3"/>
        <v>120496.35</v>
      </c>
      <c r="J16" s="83">
        <f t="shared" si="3"/>
        <v>116938.78000000003</v>
      </c>
      <c r="K16" s="83">
        <f t="shared" si="3"/>
        <v>119760.2</v>
      </c>
      <c r="L16" s="83">
        <f t="shared" si="3"/>
        <v>120110.2</v>
      </c>
      <c r="M16" s="83">
        <f t="shared" si="3"/>
        <v>100950.05</v>
      </c>
      <c r="N16" s="83">
        <f t="shared" si="3"/>
        <v>120347.13</v>
      </c>
      <c r="O16" s="83">
        <f t="shared" si="3"/>
        <v>112797.68000000001</v>
      </c>
      <c r="P16" s="83">
        <f t="shared" si="3"/>
        <v>927813.11</v>
      </c>
      <c r="Q16" s="83">
        <f>SUM(Q4:Q15)</f>
        <v>665293.6399999998</v>
      </c>
      <c r="R16" s="83">
        <f t="shared" si="1"/>
        <v>262519.4700000002</v>
      </c>
    </row>
    <row r="17" spans="2:18" s="76" customFormat="1" ht="15.75">
      <c r="B17" s="82"/>
      <c r="C17" s="78"/>
      <c r="D17" s="78"/>
      <c r="E17" s="78"/>
      <c r="F17" s="78"/>
      <c r="G17" s="78"/>
      <c r="H17" s="78"/>
      <c r="I17" s="78"/>
      <c r="J17" s="79"/>
      <c r="K17" s="79"/>
      <c r="L17" s="79"/>
      <c r="M17" s="79"/>
      <c r="N17" s="79"/>
      <c r="O17" s="79"/>
      <c r="P17" s="79"/>
      <c r="Q17" s="79"/>
      <c r="R17" s="78"/>
    </row>
    <row r="18" spans="2:18" s="76" customFormat="1" ht="15.75">
      <c r="B18" s="197" t="s">
        <v>101</v>
      </c>
      <c r="C18" s="198"/>
      <c r="D18" s="89"/>
      <c r="E18" s="89"/>
      <c r="F18" s="89"/>
      <c r="G18" s="89"/>
      <c r="H18" s="89"/>
      <c r="I18" s="89"/>
      <c r="J18" s="90"/>
      <c r="K18" s="90"/>
      <c r="L18" s="90"/>
      <c r="M18" s="90"/>
      <c r="N18" s="90"/>
      <c r="O18" s="90"/>
      <c r="P18" s="79"/>
      <c r="Q18" s="90"/>
      <c r="R18" s="78"/>
    </row>
    <row r="19" spans="2:18" s="76" customFormat="1" ht="15.75">
      <c r="B19" s="77" t="s">
        <v>58</v>
      </c>
      <c r="C19" s="78"/>
      <c r="D19" s="78"/>
      <c r="E19" s="78"/>
      <c r="F19" s="78"/>
      <c r="G19" s="78"/>
      <c r="H19" s="78">
        <v>9771.61</v>
      </c>
      <c r="I19" s="78">
        <v>12266.02</v>
      </c>
      <c r="J19" s="79">
        <v>11106.1</v>
      </c>
      <c r="K19" s="79">
        <v>4417.28</v>
      </c>
      <c r="L19" s="79">
        <v>12434.4</v>
      </c>
      <c r="M19" s="79">
        <v>9550.62</v>
      </c>
      <c r="N19" s="79">
        <v>8390.24</v>
      </c>
      <c r="O19" s="79">
        <f>9683.66-1.42</f>
        <v>9682.24</v>
      </c>
      <c r="P19" s="79">
        <f t="shared" si="0"/>
        <v>77618.51000000001</v>
      </c>
      <c r="Q19" s="79">
        <v>55666.1</v>
      </c>
      <c r="R19" s="78">
        <f t="shared" si="1"/>
        <v>21952.41000000001</v>
      </c>
    </row>
    <row r="20" spans="2:18" s="76" customFormat="1" ht="15.75">
      <c r="B20" s="77" t="s">
        <v>59</v>
      </c>
      <c r="C20" s="78"/>
      <c r="D20" s="78"/>
      <c r="E20" s="78"/>
      <c r="F20" s="78"/>
      <c r="G20" s="78"/>
      <c r="H20" s="78">
        <v>11137.68</v>
      </c>
      <c r="I20" s="78">
        <v>13842.86</v>
      </c>
      <c r="J20" s="79">
        <v>17203.63</v>
      </c>
      <c r="K20" s="79">
        <v>674.58</v>
      </c>
      <c r="L20" s="79">
        <v>13477.64</v>
      </c>
      <c r="M20" s="79">
        <v>11579.5</v>
      </c>
      <c r="N20" s="79">
        <v>10923.54</v>
      </c>
      <c r="O20" s="79">
        <v>12021.01</v>
      </c>
      <c r="P20" s="79">
        <f t="shared" si="0"/>
        <v>90860.43999999999</v>
      </c>
      <c r="Q20" s="79">
        <v>62838.8</v>
      </c>
      <c r="R20" s="78">
        <f t="shared" si="1"/>
        <v>28021.639999999985</v>
      </c>
    </row>
    <row r="21" spans="2:18" s="76" customFormat="1" ht="15.75">
      <c r="B21" s="77" t="s">
        <v>55</v>
      </c>
      <c r="C21" s="78"/>
      <c r="D21" s="78"/>
      <c r="E21" s="78"/>
      <c r="F21" s="78"/>
      <c r="G21" s="78"/>
      <c r="H21" s="78">
        <v>199798.26</v>
      </c>
      <c r="I21" s="78">
        <v>-131574.36</v>
      </c>
      <c r="J21" s="79">
        <f>29994.12-66.21</f>
        <v>29927.91</v>
      </c>
      <c r="K21" s="79">
        <v>37079.14</v>
      </c>
      <c r="L21" s="79">
        <v>27322.96</v>
      </c>
      <c r="M21" s="79">
        <v>37704.05</v>
      </c>
      <c r="N21" s="79">
        <v>36541.54</v>
      </c>
      <c r="O21" s="79">
        <v>30774.53</v>
      </c>
      <c r="P21" s="79">
        <f t="shared" si="0"/>
        <v>267574.03</v>
      </c>
      <c r="Q21" s="79">
        <f>197097.36+427.21</f>
        <v>197524.56999999998</v>
      </c>
      <c r="R21" s="78">
        <f t="shared" si="1"/>
        <v>70049.46000000005</v>
      </c>
    </row>
    <row r="22" spans="2:18" s="76" customFormat="1" ht="15.75">
      <c r="B22" s="77" t="s">
        <v>105</v>
      </c>
      <c r="C22" s="78"/>
      <c r="D22" s="78"/>
      <c r="E22" s="78"/>
      <c r="F22" s="78"/>
      <c r="G22" s="78"/>
      <c r="H22" s="78">
        <v>20135.31</v>
      </c>
      <c r="I22" s="78">
        <v>241.49</v>
      </c>
      <c r="J22" s="78">
        <v>-2263.65</v>
      </c>
      <c r="K22" s="79">
        <v>350</v>
      </c>
      <c r="L22" s="79">
        <v>4892.25</v>
      </c>
      <c r="M22" s="79">
        <v>42559.29</v>
      </c>
      <c r="N22" s="79">
        <v>57260.19</v>
      </c>
      <c r="O22" s="79">
        <f>96322.56-241.49</f>
        <v>96081.06999999999</v>
      </c>
      <c r="P22" s="79">
        <f t="shared" si="0"/>
        <v>219255.95</v>
      </c>
      <c r="Q22" s="79">
        <v>103750.66</v>
      </c>
      <c r="R22" s="78">
        <f t="shared" si="1"/>
        <v>115505.29000000001</v>
      </c>
    </row>
    <row r="23" spans="2:18" s="76" customFormat="1" ht="15.75">
      <c r="B23" s="77" t="s">
        <v>57</v>
      </c>
      <c r="C23" s="78"/>
      <c r="D23" s="78"/>
      <c r="E23" s="78"/>
      <c r="F23" s="78"/>
      <c r="G23" s="78"/>
      <c r="H23" s="78">
        <v>20623.71</v>
      </c>
      <c r="I23" s="78">
        <v>24106.34</v>
      </c>
      <c r="J23" s="79">
        <v>42791.59</v>
      </c>
      <c r="K23" s="79">
        <v>-8271.57</v>
      </c>
      <c r="L23" s="79">
        <v>22921.31</v>
      </c>
      <c r="M23" s="79">
        <v>23101.41</v>
      </c>
      <c r="N23" s="79">
        <v>23462.65</v>
      </c>
      <c r="O23" s="79">
        <f>24555.58-44.88</f>
        <v>24510.7</v>
      </c>
      <c r="P23" s="79">
        <f t="shared" si="0"/>
        <v>173246.14</v>
      </c>
      <c r="Q23" s="79">
        <v>112791.3</v>
      </c>
      <c r="R23" s="78">
        <f t="shared" si="1"/>
        <v>60454.84000000001</v>
      </c>
    </row>
    <row r="24" spans="2:18" s="81" customFormat="1" ht="15.75">
      <c r="B24" s="82" t="s">
        <v>111</v>
      </c>
      <c r="C24" s="83">
        <f aca="true" t="shared" si="4" ref="C24:H24">C19+C20+C21+C22+C23</f>
        <v>0</v>
      </c>
      <c r="D24" s="83">
        <f t="shared" si="4"/>
        <v>0</v>
      </c>
      <c r="E24" s="83">
        <f t="shared" si="4"/>
        <v>0</v>
      </c>
      <c r="F24" s="83">
        <f t="shared" si="4"/>
        <v>0</v>
      </c>
      <c r="G24" s="83">
        <f t="shared" si="4"/>
        <v>0</v>
      </c>
      <c r="H24" s="83">
        <f t="shared" si="4"/>
        <v>261466.57</v>
      </c>
      <c r="I24" s="83">
        <f aca="true" t="shared" si="5" ref="I24:R24">I19+I20+I21+I22+I23</f>
        <v>-81117.64999999998</v>
      </c>
      <c r="J24" s="83">
        <f t="shared" si="5"/>
        <v>98765.57999999999</v>
      </c>
      <c r="K24" s="83">
        <f t="shared" si="5"/>
        <v>34249.43</v>
      </c>
      <c r="L24" s="83">
        <f t="shared" si="5"/>
        <v>81048.56</v>
      </c>
      <c r="M24" s="83">
        <f t="shared" si="5"/>
        <v>124494.87000000001</v>
      </c>
      <c r="N24" s="83">
        <f t="shared" si="5"/>
        <v>136578.16</v>
      </c>
      <c r="O24" s="83">
        <f t="shared" si="5"/>
        <v>173069.55</v>
      </c>
      <c r="P24" s="83">
        <f t="shared" si="5"/>
        <v>828555.0700000001</v>
      </c>
      <c r="Q24" s="83">
        <f t="shared" si="5"/>
        <v>532571.43</v>
      </c>
      <c r="R24" s="83">
        <f t="shared" si="5"/>
        <v>295983.6400000001</v>
      </c>
    </row>
    <row r="25" spans="2:18" s="81" customFormat="1" ht="15.75">
      <c r="B25" s="82" t="s">
        <v>112</v>
      </c>
      <c r="C25" s="83">
        <f aca="true" t="shared" si="6" ref="C25:H25">C24+C16</f>
        <v>0</v>
      </c>
      <c r="D25" s="83">
        <f t="shared" si="6"/>
        <v>0</v>
      </c>
      <c r="E25" s="83">
        <f t="shared" si="6"/>
        <v>0</v>
      </c>
      <c r="F25" s="83">
        <f t="shared" si="6"/>
        <v>0</v>
      </c>
      <c r="G25" s="83">
        <f t="shared" si="6"/>
        <v>0</v>
      </c>
      <c r="H25" s="83">
        <f t="shared" si="6"/>
        <v>377879.29000000004</v>
      </c>
      <c r="I25" s="83">
        <f aca="true" t="shared" si="7" ref="I25:R25">I24+I16</f>
        <v>39378.700000000026</v>
      </c>
      <c r="J25" s="83">
        <f t="shared" si="7"/>
        <v>215704.36000000002</v>
      </c>
      <c r="K25" s="83">
        <f t="shared" si="7"/>
        <v>154009.63</v>
      </c>
      <c r="L25" s="83">
        <f t="shared" si="7"/>
        <v>201158.76</v>
      </c>
      <c r="M25" s="83">
        <f t="shared" si="7"/>
        <v>225444.92</v>
      </c>
      <c r="N25" s="83">
        <f t="shared" si="7"/>
        <v>256925.29</v>
      </c>
      <c r="O25" s="83">
        <f t="shared" si="7"/>
        <v>285867.23</v>
      </c>
      <c r="P25" s="83">
        <f t="shared" si="7"/>
        <v>1756368.1800000002</v>
      </c>
      <c r="Q25" s="83">
        <f t="shared" si="7"/>
        <v>1197865.0699999998</v>
      </c>
      <c r="R25" s="83">
        <f t="shared" si="7"/>
        <v>558503.1100000003</v>
      </c>
    </row>
    <row r="26" spans="2:18" s="81" customFormat="1" ht="1.5" customHeight="1">
      <c r="B26" s="85" t="s">
        <v>98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 t="e">
        <f>#REF!+#REF!</f>
        <v>#REF!</v>
      </c>
      <c r="R26" s="83"/>
    </row>
    <row r="27" spans="2:18" s="81" customFormat="1" ht="15.75" hidden="1">
      <c r="B27" s="85" t="s">
        <v>99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 t="e">
        <f>#REF!</f>
        <v>#REF!</v>
      </c>
      <c r="R27" s="83"/>
    </row>
    <row r="28" spans="2:18" s="81" customFormat="1" ht="15.75" hidden="1">
      <c r="B28" s="88" t="s">
        <v>100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 t="e">
        <f>#REF!+#REF!</f>
        <v>#REF!</v>
      </c>
      <c r="R28" s="96"/>
    </row>
    <row r="29" spans="2:18" s="81" customFormat="1" ht="15.75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 t="s">
        <v>94</v>
      </c>
      <c r="O29" s="98"/>
      <c r="P29" s="98"/>
      <c r="Q29" s="98"/>
      <c r="R29" s="98"/>
    </row>
    <row r="30" spans="1:18" s="101" customFormat="1" ht="17.25" customHeight="1">
      <c r="A30" s="99"/>
      <c r="B30" s="200" t="s">
        <v>194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2"/>
    </row>
    <row r="31" spans="1:18" s="101" customFormat="1" ht="17.25" customHeight="1">
      <c r="A31" s="102"/>
      <c r="B31" s="203" t="s">
        <v>91</v>
      </c>
      <c r="C31" s="203"/>
      <c r="D31" s="103"/>
      <c r="E31" s="103"/>
      <c r="F31" s="103"/>
      <c r="G31" s="103"/>
      <c r="H31" s="103"/>
      <c r="I31" s="103"/>
      <c r="J31" s="104"/>
      <c r="K31" s="104"/>
      <c r="L31" s="104"/>
      <c r="M31" s="104"/>
      <c r="N31" s="104"/>
      <c r="O31" s="104"/>
      <c r="P31" s="104"/>
      <c r="Q31" s="100"/>
      <c r="R31" s="105"/>
    </row>
    <row r="32" spans="1:18" s="109" customFormat="1" ht="77.25">
      <c r="A32" s="106" t="s">
        <v>113</v>
      </c>
      <c r="B32" s="107" t="s">
        <v>114</v>
      </c>
      <c r="C32" s="66" t="s">
        <v>193</v>
      </c>
      <c r="D32" s="67" t="s">
        <v>76</v>
      </c>
      <c r="E32" s="67" t="s">
        <v>77</v>
      </c>
      <c r="F32" s="67" t="s">
        <v>78</v>
      </c>
      <c r="G32" s="67" t="s">
        <v>79</v>
      </c>
      <c r="H32" s="67" t="s">
        <v>80</v>
      </c>
      <c r="I32" s="67" t="s">
        <v>81</v>
      </c>
      <c r="J32" s="67" t="s">
        <v>82</v>
      </c>
      <c r="K32" s="67" t="s">
        <v>83</v>
      </c>
      <c r="L32" s="67" t="s">
        <v>84</v>
      </c>
      <c r="M32" s="67" t="s">
        <v>85</v>
      </c>
      <c r="N32" s="67" t="s">
        <v>86</v>
      </c>
      <c r="O32" s="67" t="s">
        <v>87</v>
      </c>
      <c r="P32" s="67" t="s">
        <v>88</v>
      </c>
      <c r="Q32" s="66" t="s">
        <v>89</v>
      </c>
      <c r="R32" s="66" t="s">
        <v>90</v>
      </c>
    </row>
    <row r="33" spans="1:18" s="114" customFormat="1" ht="14.25">
      <c r="A33" s="110">
        <v>1</v>
      </c>
      <c r="B33" s="152" t="s">
        <v>139</v>
      </c>
      <c r="C33" s="112">
        <f>C34+C38+C39+C40+C41+C42+C43+C44+C49</f>
        <v>0</v>
      </c>
      <c r="D33" s="112">
        <f aca="true" t="shared" si="8" ref="D33:O33">D34+D38+D39+D40+D41+D42+D43+D44+D45+D46+D47+D48+D49</f>
        <v>0</v>
      </c>
      <c r="E33" s="112">
        <f t="shared" si="8"/>
        <v>0</v>
      </c>
      <c r="F33" s="112">
        <f t="shared" si="8"/>
        <v>0</v>
      </c>
      <c r="G33" s="112">
        <f t="shared" si="8"/>
        <v>0</v>
      </c>
      <c r="H33" s="112">
        <f t="shared" si="8"/>
        <v>54486.77</v>
      </c>
      <c r="I33" s="112">
        <f t="shared" si="8"/>
        <v>53499.82</v>
      </c>
      <c r="J33" s="112">
        <f t="shared" si="8"/>
        <v>50137.33000000001</v>
      </c>
      <c r="K33" s="112">
        <f t="shared" si="8"/>
        <v>51470.51</v>
      </c>
      <c r="L33" s="112">
        <f t="shared" si="8"/>
        <v>49770.44</v>
      </c>
      <c r="M33" s="112">
        <f t="shared" si="8"/>
        <v>51804.72</v>
      </c>
      <c r="N33" s="112">
        <f t="shared" si="8"/>
        <v>53393.34</v>
      </c>
      <c r="O33" s="112">
        <f t="shared" si="8"/>
        <v>57108.240000000005</v>
      </c>
      <c r="P33" s="112">
        <f>P34+P38+P39+P40+P41+P42+P43+P44+P45+P46+P47+P48+P49</f>
        <v>421671.17</v>
      </c>
      <c r="Q33" s="112">
        <f>Q34+Q38+Q39+Q40+Q41+Q42+Q43+Q44+Q45+Q46+Q47+Q48+Q49</f>
        <v>337263.95999999996</v>
      </c>
      <c r="R33" s="112">
        <f>R34+R38+R39+R40+R41+R42+R43+R44+R45+R46+R47+R48+R49</f>
        <v>84407.20999999999</v>
      </c>
    </row>
    <row r="34" spans="1:18" ht="31.5" customHeight="1">
      <c r="A34" s="122"/>
      <c r="B34" s="151" t="s">
        <v>133</v>
      </c>
      <c r="C34" s="165"/>
      <c r="D34" s="165">
        <f aca="true" t="shared" si="9" ref="D34:Q34">D35+D36+D37</f>
        <v>0</v>
      </c>
      <c r="E34" s="165">
        <f t="shared" si="9"/>
        <v>0</v>
      </c>
      <c r="F34" s="165">
        <f t="shared" si="9"/>
        <v>0</v>
      </c>
      <c r="G34" s="165">
        <f t="shared" si="9"/>
        <v>0</v>
      </c>
      <c r="H34" s="165">
        <f t="shared" si="9"/>
        <v>15952.759999999998</v>
      </c>
      <c r="I34" s="165">
        <f t="shared" si="9"/>
        <v>15233.400000000001</v>
      </c>
      <c r="J34" s="165">
        <f t="shared" si="9"/>
        <v>13540.240000000002</v>
      </c>
      <c r="K34" s="165">
        <f t="shared" si="9"/>
        <v>15233.400000000001</v>
      </c>
      <c r="L34" s="165">
        <f t="shared" si="9"/>
        <v>15233.400000000001</v>
      </c>
      <c r="M34" s="165">
        <f t="shared" si="9"/>
        <v>15233.400000000001</v>
      </c>
      <c r="N34" s="165">
        <f t="shared" si="9"/>
        <v>17082.18</v>
      </c>
      <c r="O34" s="165">
        <f t="shared" si="9"/>
        <v>17812.620000000003</v>
      </c>
      <c r="P34" s="165">
        <f t="shared" si="9"/>
        <v>125321.4</v>
      </c>
      <c r="Q34" s="165">
        <f t="shared" si="9"/>
        <v>107508.78</v>
      </c>
      <c r="R34" s="154">
        <f>C34+P34-Q34</f>
        <v>17812.619999999995</v>
      </c>
    </row>
    <row r="35" spans="1:18" s="121" customFormat="1" ht="15">
      <c r="A35" s="115"/>
      <c r="B35" s="150" t="s">
        <v>127</v>
      </c>
      <c r="C35" s="166"/>
      <c r="D35" s="166">
        <f>январь!E11</f>
        <v>0</v>
      </c>
      <c r="E35" s="166">
        <f>февраль!E11</f>
        <v>0</v>
      </c>
      <c r="F35" s="166">
        <f>март!E11</f>
        <v>0</v>
      </c>
      <c r="G35" s="166">
        <f>апрель!E11</f>
        <v>0</v>
      </c>
      <c r="H35" s="116">
        <f>май!E11</f>
        <v>12398.3</v>
      </c>
      <c r="I35" s="116">
        <f>июнь!E11</f>
        <v>11848.2</v>
      </c>
      <c r="J35" s="116">
        <f>июль!E11</f>
        <v>10155.04</v>
      </c>
      <c r="K35" s="117">
        <f>август!E11</f>
        <v>11848.2</v>
      </c>
      <c r="L35" s="117">
        <f>сентябрь!E11</f>
        <v>11848.2</v>
      </c>
      <c r="M35" s="117">
        <f>октябрь!E11</f>
        <v>11848.2</v>
      </c>
      <c r="N35" s="117">
        <f>ноябрь!E11</f>
        <v>13374.57</v>
      </c>
      <c r="O35" s="117">
        <f>декабрь!E11</f>
        <v>13782.61</v>
      </c>
      <c r="P35" s="118">
        <f aca="true" t="shared" si="10" ref="P35:P91">SUM(D35:O35)</f>
        <v>97103.31999999999</v>
      </c>
      <c r="Q35" s="119">
        <f>P35-O35</f>
        <v>83320.70999999999</v>
      </c>
      <c r="R35" s="154">
        <f aca="true" t="shared" si="11" ref="R35:R94">C35+P35-Q35</f>
        <v>13782.61</v>
      </c>
    </row>
    <row r="36" spans="1:18" s="121" customFormat="1" ht="15">
      <c r="A36" s="115"/>
      <c r="B36" s="150" t="s">
        <v>128</v>
      </c>
      <c r="C36" s="166"/>
      <c r="D36" s="166">
        <f>январь!E12</f>
        <v>0</v>
      </c>
      <c r="E36" s="166">
        <f>февраль!E12</f>
        <v>0</v>
      </c>
      <c r="F36" s="166">
        <f>март!E12</f>
        <v>0</v>
      </c>
      <c r="G36" s="166">
        <f>апрель!E12</f>
        <v>0</v>
      </c>
      <c r="H36" s="116">
        <f>май!E12</f>
        <v>3554.46</v>
      </c>
      <c r="I36" s="116">
        <f>июнь!E12</f>
        <v>3385.2</v>
      </c>
      <c r="J36" s="116">
        <f>июль!E12</f>
        <v>3385.2</v>
      </c>
      <c r="K36" s="117">
        <f>август!E12</f>
        <v>3385.2</v>
      </c>
      <c r="L36" s="117">
        <f>сентябрь!E12</f>
        <v>3385.2</v>
      </c>
      <c r="M36" s="117">
        <f>октябрь!E12</f>
        <v>3385.2</v>
      </c>
      <c r="N36" s="117">
        <f>ноябрь!E12</f>
        <v>3707.61</v>
      </c>
      <c r="O36" s="117">
        <f>декабрь!E12</f>
        <v>4030.01</v>
      </c>
      <c r="P36" s="118">
        <f t="shared" si="10"/>
        <v>28218.08</v>
      </c>
      <c r="Q36" s="119">
        <f>P36-O36</f>
        <v>24188.07</v>
      </c>
      <c r="R36" s="154">
        <f t="shared" si="11"/>
        <v>4030.010000000002</v>
      </c>
    </row>
    <row r="37" spans="1:18" s="121" customFormat="1" ht="15" hidden="1">
      <c r="A37" s="115"/>
      <c r="B37" s="150" t="s">
        <v>134</v>
      </c>
      <c r="C37" s="166"/>
      <c r="D37" s="166"/>
      <c r="E37" s="166"/>
      <c r="F37" s="166">
        <f>март!E13</f>
        <v>0</v>
      </c>
      <c r="G37" s="166">
        <f>апрель!E13</f>
        <v>0</v>
      </c>
      <c r="H37" s="116">
        <f>май!E13</f>
        <v>0</v>
      </c>
      <c r="I37" s="116">
        <f>июнь!E13</f>
        <v>0</v>
      </c>
      <c r="J37" s="116">
        <f>июль!E13</f>
        <v>0</v>
      </c>
      <c r="K37" s="117">
        <f>август!E13</f>
        <v>0</v>
      </c>
      <c r="L37" s="117">
        <f>сентябрь!E13</f>
        <v>0</v>
      </c>
      <c r="M37" s="117">
        <f>октябрь!E13</f>
        <v>0</v>
      </c>
      <c r="N37" s="117">
        <f>ноябрь!E13</f>
        <v>0</v>
      </c>
      <c r="O37" s="117">
        <f>декабрь!E13</f>
        <v>0</v>
      </c>
      <c r="P37" s="124">
        <f t="shared" si="10"/>
        <v>0</v>
      </c>
      <c r="Q37" s="119"/>
      <c r="R37" s="154">
        <f t="shared" si="11"/>
        <v>0</v>
      </c>
    </row>
    <row r="38" spans="1:18" ht="15">
      <c r="A38" s="122"/>
      <c r="B38" s="155" t="s">
        <v>129</v>
      </c>
      <c r="C38" s="165"/>
      <c r="D38" s="165">
        <f>январь!F27-Свод!D51</f>
        <v>0</v>
      </c>
      <c r="E38" s="165">
        <f>февраль!F27-Свод!E51</f>
        <v>0</v>
      </c>
      <c r="F38" s="165">
        <f>март!F27-F39</f>
        <v>0</v>
      </c>
      <c r="G38" s="165">
        <f>апрель!F27-Свод!G51</f>
        <v>0</v>
      </c>
      <c r="H38" s="124">
        <f>май!F27-Свод!H51</f>
        <v>440</v>
      </c>
      <c r="I38" s="124">
        <f>июнь!F27-Свод!I51</f>
        <v>379</v>
      </c>
      <c r="J38" s="125">
        <f>июль!F27-Свод!J51</f>
        <v>338</v>
      </c>
      <c r="K38" s="125">
        <f>август!F27-Свод!K51</f>
        <v>311.44</v>
      </c>
      <c r="L38" s="125">
        <f>сентябрь!F27-Свод!L51</f>
        <v>293</v>
      </c>
      <c r="M38" s="125">
        <f>октябрь!F27-Свод!M51</f>
        <v>885</v>
      </c>
      <c r="N38" s="125">
        <f>ноябрь!F27-Свод!N51</f>
        <v>367</v>
      </c>
      <c r="O38" s="125">
        <f>декабрь!F27-Свод!O51</f>
        <v>2563</v>
      </c>
      <c r="P38" s="124">
        <f t="shared" si="10"/>
        <v>5576.4400000000005</v>
      </c>
      <c r="Q38" s="125">
        <f>P38</f>
        <v>5576.4400000000005</v>
      </c>
      <c r="R38" s="154">
        <f t="shared" si="11"/>
        <v>0</v>
      </c>
    </row>
    <row r="39" spans="1:18" ht="15">
      <c r="A39" s="122"/>
      <c r="B39" s="155" t="s">
        <v>130</v>
      </c>
      <c r="C39" s="165"/>
      <c r="D39" s="165">
        <f>январь!F14</f>
        <v>0</v>
      </c>
      <c r="E39" s="165">
        <f>февраль!F14</f>
        <v>0</v>
      </c>
      <c r="F39" s="165">
        <f>март!F14</f>
        <v>0</v>
      </c>
      <c r="G39" s="165">
        <f>апрель!G14</f>
        <v>0</v>
      </c>
      <c r="H39" s="124">
        <f>май!G14</f>
        <v>0</v>
      </c>
      <c r="I39" s="124">
        <f>июнь!G14</f>
        <v>205</v>
      </c>
      <c r="J39" s="125">
        <f>июль!G14</f>
        <v>160</v>
      </c>
      <c r="K39" s="125">
        <f>август!G14</f>
        <v>181</v>
      </c>
      <c r="L39" s="125">
        <f>сентябрь!G14</f>
        <v>164</v>
      </c>
      <c r="M39" s="125">
        <f>октябрь!G14</f>
        <v>166</v>
      </c>
      <c r="N39" s="125">
        <f>ноябрь!G14</f>
        <v>170</v>
      </c>
      <c r="O39" s="125">
        <f>декабрь!G14</f>
        <v>223</v>
      </c>
      <c r="P39" s="124">
        <f t="shared" si="10"/>
        <v>1269</v>
      </c>
      <c r="Q39" s="125">
        <f>P39</f>
        <v>1269</v>
      </c>
      <c r="R39" s="154">
        <f t="shared" si="11"/>
        <v>0</v>
      </c>
    </row>
    <row r="40" spans="1:18" ht="15">
      <c r="A40" s="122"/>
      <c r="B40" s="157" t="s">
        <v>20</v>
      </c>
      <c r="C40" s="165"/>
      <c r="D40" s="165">
        <f>январь!G15</f>
        <v>0</v>
      </c>
      <c r="E40" s="165">
        <f>февраль!G15</f>
        <v>0</v>
      </c>
      <c r="F40" s="165">
        <f>март!G15</f>
        <v>0</v>
      </c>
      <c r="G40" s="165">
        <f>апрель!G15</f>
        <v>0</v>
      </c>
      <c r="H40" s="124">
        <f>май!G15</f>
        <v>18618.24</v>
      </c>
      <c r="I40" s="124">
        <f>июнь!G15</f>
        <v>18618.24</v>
      </c>
      <c r="J40" s="125">
        <f>июль!G15</f>
        <v>18618.24</v>
      </c>
      <c r="K40" s="125">
        <f>август!G15</f>
        <v>18618.24</v>
      </c>
      <c r="L40" s="125">
        <f>сентябрь!G15</f>
        <v>18618.24</v>
      </c>
      <c r="M40" s="125">
        <f>октябрь!G15</f>
        <v>18618.24</v>
      </c>
      <c r="N40" s="125">
        <f>ноябрь!G15</f>
        <v>18618.24</v>
      </c>
      <c r="O40" s="125">
        <f>декабрь!G15</f>
        <v>18618.24</v>
      </c>
      <c r="P40" s="124">
        <f t="shared" si="10"/>
        <v>148945.92</v>
      </c>
      <c r="Q40" s="125">
        <f>Q6</f>
        <v>118689.02</v>
      </c>
      <c r="R40" s="154">
        <f t="shared" si="11"/>
        <v>30256.90000000001</v>
      </c>
    </row>
    <row r="41" spans="1:18" ht="15.75">
      <c r="A41" s="122"/>
      <c r="B41" s="77" t="s">
        <v>209</v>
      </c>
      <c r="C41" s="165"/>
      <c r="D41" s="165">
        <f>январь!G16</f>
        <v>0</v>
      </c>
      <c r="E41" s="165">
        <f>февраль!G16</f>
        <v>0</v>
      </c>
      <c r="F41" s="165">
        <f>март!G16</f>
        <v>0</v>
      </c>
      <c r="G41" s="165">
        <f>апрель!G16</f>
        <v>0</v>
      </c>
      <c r="H41" s="124">
        <f>май!G16</f>
        <v>10131.18</v>
      </c>
      <c r="I41" s="124">
        <f>июнь!G16</f>
        <v>10131.18</v>
      </c>
      <c r="J41" s="125">
        <f>июль!G16</f>
        <v>10131.18</v>
      </c>
      <c r="K41" s="125">
        <f>август!G16</f>
        <v>10131.18</v>
      </c>
      <c r="L41" s="125">
        <f>сентябрь!G16</f>
        <v>10131.18</v>
      </c>
      <c r="M41" s="125">
        <f>октябрь!G16</f>
        <v>10131.18</v>
      </c>
      <c r="N41" s="125">
        <f>ноябрь!G16</f>
        <v>10131.18</v>
      </c>
      <c r="O41" s="125">
        <f>декабрь!G16</f>
        <v>10131.18</v>
      </c>
      <c r="P41" s="124">
        <f t="shared" si="10"/>
        <v>81049.44</v>
      </c>
      <c r="Q41" s="125">
        <f>Q5</f>
        <v>61864.37</v>
      </c>
      <c r="R41" s="154">
        <f t="shared" si="11"/>
        <v>19185.07</v>
      </c>
    </row>
    <row r="42" spans="1:18" ht="15">
      <c r="A42" s="122"/>
      <c r="B42" s="155" t="s">
        <v>131</v>
      </c>
      <c r="C42" s="165"/>
      <c r="D42" s="165">
        <f>январь!G17</f>
        <v>0</v>
      </c>
      <c r="E42" s="165">
        <f>февраль!G17</f>
        <v>0</v>
      </c>
      <c r="F42" s="165">
        <f>март!G17</f>
        <v>0</v>
      </c>
      <c r="G42" s="165">
        <f>апрель!G17</f>
        <v>0</v>
      </c>
      <c r="H42" s="124">
        <f>май!G17</f>
        <v>588.85</v>
      </c>
      <c r="I42" s="124">
        <f>июнь!G17</f>
        <v>588.85</v>
      </c>
      <c r="J42" s="125">
        <f>июль!G17</f>
        <v>643.62</v>
      </c>
      <c r="K42" s="125">
        <f>август!G17</f>
        <v>643.62</v>
      </c>
      <c r="L42" s="125">
        <f>сентябрь!G17</f>
        <v>643.62</v>
      </c>
      <c r="M42" s="125">
        <f>октябрь!G17</f>
        <v>643.62</v>
      </c>
      <c r="N42" s="125">
        <f>ноябрь!G17</f>
        <v>643.62</v>
      </c>
      <c r="O42" s="125">
        <f>декабрь!G17</f>
        <v>643.62</v>
      </c>
      <c r="P42" s="124">
        <f t="shared" si="10"/>
        <v>5039.42</v>
      </c>
      <c r="Q42" s="125">
        <f>P42-O42</f>
        <v>4395.8</v>
      </c>
      <c r="R42" s="154">
        <f t="shared" si="11"/>
        <v>643.6199999999999</v>
      </c>
    </row>
    <row r="43" spans="1:18" ht="15">
      <c r="A43" s="122"/>
      <c r="B43" s="155" t="s">
        <v>132</v>
      </c>
      <c r="C43" s="165"/>
      <c r="D43" s="165">
        <f>январь!G18</f>
        <v>0</v>
      </c>
      <c r="E43" s="165">
        <f>февраль!G18</f>
        <v>0</v>
      </c>
      <c r="F43" s="165">
        <f>март!G18</f>
        <v>0</v>
      </c>
      <c r="G43" s="165">
        <f>апрель!G18</f>
        <v>0</v>
      </c>
      <c r="H43" s="124">
        <f>май!G18</f>
        <v>0</v>
      </c>
      <c r="I43" s="124">
        <f>июнь!G18</f>
        <v>1157.15</v>
      </c>
      <c r="J43" s="125">
        <f>июль!G18</f>
        <v>0</v>
      </c>
      <c r="K43" s="125">
        <f>август!G18</f>
        <v>781.18</v>
      </c>
      <c r="L43" s="125">
        <f>сентябрь!G18</f>
        <v>0</v>
      </c>
      <c r="M43" s="125">
        <f>октябрь!G18</f>
        <v>0</v>
      </c>
      <c r="N43" s="125">
        <f>ноябрь!G18</f>
        <v>530.84</v>
      </c>
      <c r="O43" s="125">
        <f>декабрь!G18</f>
        <v>1698.5700000000002</v>
      </c>
      <c r="P43" s="124">
        <f t="shared" si="10"/>
        <v>4167.74</v>
      </c>
      <c r="Q43" s="125">
        <f>P43-O43</f>
        <v>2469.1699999999996</v>
      </c>
      <c r="R43" s="154">
        <f t="shared" si="11"/>
        <v>1698.5700000000002</v>
      </c>
    </row>
    <row r="44" spans="1:18" ht="15">
      <c r="A44" s="122"/>
      <c r="B44" s="157" t="s">
        <v>49</v>
      </c>
      <c r="C44" s="165"/>
      <c r="D44" s="165">
        <f>январь!G19</f>
        <v>0</v>
      </c>
      <c r="E44" s="165">
        <f>февраль!G19</f>
        <v>0</v>
      </c>
      <c r="F44" s="165">
        <f>март!G19</f>
        <v>0</v>
      </c>
      <c r="G44" s="165">
        <f>апрель!G19</f>
        <v>0</v>
      </c>
      <c r="H44" s="124">
        <f>май!G19</f>
        <v>4687</v>
      </c>
      <c r="I44" s="124">
        <f>июнь!G19</f>
        <v>4687</v>
      </c>
      <c r="J44" s="125">
        <f>июль!G19</f>
        <v>4687</v>
      </c>
      <c r="K44" s="125">
        <f>август!G19</f>
        <v>4687</v>
      </c>
      <c r="L44" s="125">
        <f>сентябрь!G19</f>
        <v>4687</v>
      </c>
      <c r="M44" s="125">
        <f>октябрь!G19</f>
        <v>4687</v>
      </c>
      <c r="N44" s="125">
        <f>ноябрь!G19</f>
        <v>4687</v>
      </c>
      <c r="O44" s="125">
        <f>декабрь!G19</f>
        <v>4687</v>
      </c>
      <c r="P44" s="124">
        <f t="shared" si="10"/>
        <v>37496</v>
      </c>
      <c r="Q44" s="125">
        <f>Q7</f>
        <v>27733.57</v>
      </c>
      <c r="R44" s="154">
        <f t="shared" si="11"/>
        <v>9762.43</v>
      </c>
    </row>
    <row r="45" spans="1:18" ht="15">
      <c r="A45" s="33"/>
      <c r="B45" s="33" t="s">
        <v>195</v>
      </c>
      <c r="C45" s="33"/>
      <c r="D45" s="165">
        <f>январь!G20</f>
        <v>0</v>
      </c>
      <c r="E45" s="165">
        <f>февраль!G20</f>
        <v>0</v>
      </c>
      <c r="F45" s="165">
        <f>март!G20</f>
        <v>0</v>
      </c>
      <c r="G45" s="165">
        <f>апрель!G20</f>
        <v>0</v>
      </c>
      <c r="H45" s="124">
        <f>май!G20</f>
        <v>2194.1</v>
      </c>
      <c r="I45" s="124">
        <f>июнь!G20</f>
        <v>0</v>
      </c>
      <c r="J45" s="125">
        <f>июль!G20</f>
        <v>276.15</v>
      </c>
      <c r="K45" s="125">
        <f>август!G20</f>
        <v>883.45</v>
      </c>
      <c r="L45" s="125">
        <f>сентябрь!G20</f>
        <v>0</v>
      </c>
      <c r="M45" s="125">
        <f>октябрь!G20</f>
        <v>1440.28</v>
      </c>
      <c r="N45" s="125">
        <f>ноябрь!G20</f>
        <v>1163.28</v>
      </c>
      <c r="O45" s="125">
        <f>декабрь!G20</f>
        <v>731.01</v>
      </c>
      <c r="P45" s="124">
        <f t="shared" si="10"/>
        <v>6688.2699999999995</v>
      </c>
      <c r="Q45" s="195">
        <f>Q8</f>
        <v>1640.27</v>
      </c>
      <c r="R45" s="154">
        <f t="shared" si="11"/>
        <v>5048</v>
      </c>
    </row>
    <row r="46" spans="1:18" ht="15">
      <c r="A46" s="33"/>
      <c r="B46" s="33" t="s">
        <v>198</v>
      </c>
      <c r="C46" s="33"/>
      <c r="D46" s="165">
        <f>январь!G21</f>
        <v>0</v>
      </c>
      <c r="E46" s="165">
        <f>февраль!G21</f>
        <v>0</v>
      </c>
      <c r="F46" s="165">
        <f>март!G21</f>
        <v>0</v>
      </c>
      <c r="G46" s="165">
        <f>апрель!G21</f>
        <v>0</v>
      </c>
      <c r="H46" s="124">
        <f>май!G21</f>
        <v>0</v>
      </c>
      <c r="I46" s="124">
        <f>июнь!G21</f>
        <v>0</v>
      </c>
      <c r="J46" s="125">
        <f>июль!G21</f>
        <v>0</v>
      </c>
      <c r="K46" s="125">
        <f>август!G21</f>
        <v>0</v>
      </c>
      <c r="L46" s="125">
        <f>сентябрь!G21</f>
        <v>0</v>
      </c>
      <c r="M46" s="125">
        <f>октябрь!G21</f>
        <v>0</v>
      </c>
      <c r="N46" s="125">
        <f>ноябрь!G21</f>
        <v>0</v>
      </c>
      <c r="O46" s="125">
        <f>декабрь!G21</f>
        <v>0</v>
      </c>
      <c r="P46" s="124">
        <f t="shared" si="10"/>
        <v>0</v>
      </c>
      <c r="Q46" s="33"/>
      <c r="R46" s="154">
        <f t="shared" si="11"/>
        <v>0</v>
      </c>
    </row>
    <row r="47" spans="1:18" ht="15">
      <c r="A47" s="33"/>
      <c r="B47" s="33" t="s">
        <v>196</v>
      </c>
      <c r="C47" s="33"/>
      <c r="D47" s="165">
        <f>январь!G22</f>
        <v>0</v>
      </c>
      <c r="E47" s="165">
        <f>февраль!G22</f>
        <v>0</v>
      </c>
      <c r="F47" s="165">
        <f>март!G22</f>
        <v>0</v>
      </c>
      <c r="G47" s="165">
        <f>апрель!G22</f>
        <v>0</v>
      </c>
      <c r="H47" s="124">
        <f>май!G22</f>
        <v>1874.64</v>
      </c>
      <c r="I47" s="124">
        <f>июнь!G22</f>
        <v>0</v>
      </c>
      <c r="J47" s="125">
        <f>июль!G22</f>
        <v>-1057.1</v>
      </c>
      <c r="K47" s="125">
        <f>август!G22</f>
        <v>0</v>
      </c>
      <c r="L47" s="125">
        <f>сентябрь!G22</f>
        <v>0</v>
      </c>
      <c r="M47" s="125">
        <f>октябрь!G22</f>
        <v>0</v>
      </c>
      <c r="N47" s="125">
        <f>ноябрь!G22</f>
        <v>0</v>
      </c>
      <c r="O47" s="125">
        <f>декабрь!G22</f>
        <v>0</v>
      </c>
      <c r="P47" s="124">
        <f t="shared" si="10"/>
        <v>817.5400000000002</v>
      </c>
      <c r="Q47" s="195">
        <v>817.54</v>
      </c>
      <c r="R47" s="154">
        <f t="shared" si="11"/>
        <v>0</v>
      </c>
    </row>
    <row r="48" spans="1:18" ht="15">
      <c r="A48" s="33"/>
      <c r="B48" s="33" t="s">
        <v>197</v>
      </c>
      <c r="C48" s="33"/>
      <c r="D48" s="165">
        <f>январь!G23</f>
        <v>0</v>
      </c>
      <c r="E48" s="165">
        <f>февраль!G23</f>
        <v>0</v>
      </c>
      <c r="F48" s="165">
        <f>март!G23</f>
        <v>0</v>
      </c>
      <c r="G48" s="165">
        <f>апрель!G23</f>
        <v>0</v>
      </c>
      <c r="H48" s="124">
        <f>май!G23</f>
        <v>0</v>
      </c>
      <c r="I48" s="124">
        <f>июнь!G23</f>
        <v>0</v>
      </c>
      <c r="J48" s="125">
        <f>июль!G23</f>
        <v>0</v>
      </c>
      <c r="K48" s="125">
        <f>август!G23</f>
        <v>0</v>
      </c>
      <c r="L48" s="125">
        <f>сентябрь!G23</f>
        <v>0</v>
      </c>
      <c r="M48" s="125">
        <f>октябрь!G23</f>
        <v>0</v>
      </c>
      <c r="N48" s="125">
        <f>ноябрь!G23</f>
        <v>0</v>
      </c>
      <c r="O48" s="125">
        <f>декабрь!G23</f>
        <v>0</v>
      </c>
      <c r="P48" s="124">
        <f t="shared" si="10"/>
        <v>0</v>
      </c>
      <c r="Q48" s="33"/>
      <c r="R48" s="154">
        <f t="shared" si="11"/>
        <v>0</v>
      </c>
    </row>
    <row r="49" spans="1:18" ht="15">
      <c r="A49" s="122"/>
      <c r="B49" s="157" t="s">
        <v>47</v>
      </c>
      <c r="C49" s="165"/>
      <c r="D49" s="165">
        <f>D50+D51</f>
        <v>0</v>
      </c>
      <c r="E49" s="165">
        <f aca="true" t="shared" si="12" ref="E49:Q49">E50+E51</f>
        <v>0</v>
      </c>
      <c r="F49" s="165">
        <f t="shared" si="12"/>
        <v>0</v>
      </c>
      <c r="G49" s="165">
        <f t="shared" si="12"/>
        <v>0</v>
      </c>
      <c r="H49" s="165">
        <f t="shared" si="12"/>
        <v>0</v>
      </c>
      <c r="I49" s="165">
        <f t="shared" si="12"/>
        <v>2500</v>
      </c>
      <c r="J49" s="165">
        <f t="shared" si="12"/>
        <v>2800</v>
      </c>
      <c r="K49" s="165">
        <f t="shared" si="12"/>
        <v>0</v>
      </c>
      <c r="L49" s="165">
        <f t="shared" si="12"/>
        <v>0</v>
      </c>
      <c r="M49" s="165">
        <f t="shared" si="12"/>
        <v>0</v>
      </c>
      <c r="N49" s="165">
        <f>N50+N51+N52</f>
        <v>0</v>
      </c>
      <c r="O49" s="165">
        <f t="shared" si="12"/>
        <v>0</v>
      </c>
      <c r="P49" s="165">
        <f t="shared" si="12"/>
        <v>5300</v>
      </c>
      <c r="Q49" s="165">
        <f t="shared" si="12"/>
        <v>5300</v>
      </c>
      <c r="R49" s="154">
        <f t="shared" si="11"/>
        <v>0</v>
      </c>
    </row>
    <row r="50" spans="1:18" s="132" customFormat="1" ht="15">
      <c r="A50" s="128"/>
      <c r="B50" s="167" t="s">
        <v>160</v>
      </c>
      <c r="C50" s="166"/>
      <c r="D50" s="165">
        <f>январь!G25</f>
        <v>0</v>
      </c>
      <c r="E50" s="165">
        <f>февраль!G25</f>
        <v>0</v>
      </c>
      <c r="F50" s="166">
        <f>март!G25</f>
        <v>0</v>
      </c>
      <c r="G50" s="166">
        <f>апрель!G25</f>
        <v>0</v>
      </c>
      <c r="H50" s="118">
        <f>май!G25</f>
        <v>0</v>
      </c>
      <c r="I50" s="118">
        <f>июнь!G25</f>
        <v>2500</v>
      </c>
      <c r="J50" s="130">
        <f>июль!G25</f>
        <v>2800</v>
      </c>
      <c r="K50" s="130">
        <f>август!G22</f>
        <v>0</v>
      </c>
      <c r="L50" s="130">
        <f>сентябрь!G22</f>
        <v>0</v>
      </c>
      <c r="M50" s="130">
        <f>октябрь!G21</f>
        <v>0</v>
      </c>
      <c r="N50" s="130">
        <f>ноябрь!G22</f>
        <v>0</v>
      </c>
      <c r="O50" s="130">
        <f>декабрь!G21</f>
        <v>0</v>
      </c>
      <c r="P50" s="118">
        <f t="shared" si="10"/>
        <v>5300</v>
      </c>
      <c r="Q50" s="130">
        <f>P50</f>
        <v>5300</v>
      </c>
      <c r="R50" s="168">
        <f t="shared" si="11"/>
        <v>0</v>
      </c>
    </row>
    <row r="51" spans="1:18" s="132" customFormat="1" ht="0.75" customHeight="1">
      <c r="A51" s="128"/>
      <c r="B51" s="167"/>
      <c r="C51" s="166"/>
      <c r="D51" s="165">
        <f>январь!G26</f>
        <v>0</v>
      </c>
      <c r="E51" s="165">
        <f>февраль!G26</f>
        <v>0</v>
      </c>
      <c r="F51" s="166">
        <f>март!G26</f>
        <v>0</v>
      </c>
      <c r="G51" s="166">
        <f>апрель!G26</f>
        <v>0</v>
      </c>
      <c r="H51" s="118">
        <f>май!G26</f>
        <v>0</v>
      </c>
      <c r="I51" s="118">
        <f>июнь!G22</f>
        <v>0</v>
      </c>
      <c r="J51" s="130">
        <f>июль!G26</f>
        <v>0</v>
      </c>
      <c r="K51" s="130">
        <f>август!G21</f>
        <v>0</v>
      </c>
      <c r="L51" s="130">
        <f>сентябрь!G21</f>
        <v>0</v>
      </c>
      <c r="M51" s="130">
        <f>октябрь!G22</f>
        <v>0</v>
      </c>
      <c r="N51" s="130">
        <f>ноябрь!G22</f>
        <v>0</v>
      </c>
      <c r="O51" s="130">
        <f>декабрь!G22</f>
        <v>0</v>
      </c>
      <c r="P51" s="118">
        <f t="shared" si="10"/>
        <v>0</v>
      </c>
      <c r="Q51" s="130"/>
      <c r="R51" s="168">
        <f t="shared" si="11"/>
        <v>0</v>
      </c>
    </row>
    <row r="52" spans="1:18" s="132" customFormat="1" ht="15" hidden="1">
      <c r="A52" s="128"/>
      <c r="B52" s="167"/>
      <c r="C52" s="166"/>
      <c r="D52" s="165"/>
      <c r="E52" s="166"/>
      <c r="F52" s="166"/>
      <c r="G52" s="166"/>
      <c r="H52" s="118"/>
      <c r="I52" s="118"/>
      <c r="J52" s="130"/>
      <c r="K52" s="130"/>
      <c r="L52" s="130"/>
      <c r="M52" s="130"/>
      <c r="N52" s="130">
        <f>ноябрь!G21</f>
        <v>0</v>
      </c>
      <c r="O52" s="130"/>
      <c r="P52" s="118">
        <f t="shared" si="10"/>
        <v>0</v>
      </c>
      <c r="Q52" s="130"/>
      <c r="R52" s="168">
        <f t="shared" si="11"/>
        <v>0</v>
      </c>
    </row>
    <row r="53" spans="1:18" s="114" customFormat="1" ht="29.25">
      <c r="A53" s="110">
        <v>2</v>
      </c>
      <c r="B53" s="152" t="s">
        <v>141</v>
      </c>
      <c r="C53" s="112">
        <f>C54+C55+C56+C57+C58</f>
        <v>0</v>
      </c>
      <c r="D53" s="112">
        <f aca="true" t="shared" si="13" ref="D53:R53">D54+D55+D56+D57+D58</f>
        <v>0</v>
      </c>
      <c r="E53" s="112">
        <f t="shared" si="13"/>
        <v>0</v>
      </c>
      <c r="F53" s="112">
        <f t="shared" si="13"/>
        <v>0</v>
      </c>
      <c r="G53" s="112">
        <f t="shared" si="13"/>
        <v>0</v>
      </c>
      <c r="H53" s="112">
        <f t="shared" si="13"/>
        <v>32192.35</v>
      </c>
      <c r="I53" s="112">
        <f t="shared" si="13"/>
        <v>22491.6</v>
      </c>
      <c r="J53" s="112">
        <f t="shared" si="13"/>
        <v>43185.71</v>
      </c>
      <c r="K53" s="112">
        <f t="shared" si="13"/>
        <v>21133.31</v>
      </c>
      <c r="L53" s="112">
        <f t="shared" si="13"/>
        <v>28797.61</v>
      </c>
      <c r="M53" s="112">
        <f t="shared" si="13"/>
        <v>56014.96000000001</v>
      </c>
      <c r="N53" s="112">
        <f t="shared" si="13"/>
        <v>27109.23</v>
      </c>
      <c r="O53" s="112">
        <f t="shared" si="13"/>
        <v>22943.79</v>
      </c>
      <c r="P53" s="187">
        <f t="shared" si="10"/>
        <v>253868.56000000006</v>
      </c>
      <c r="Q53" s="112">
        <f t="shared" si="13"/>
        <v>232013.77</v>
      </c>
      <c r="R53" s="112">
        <f t="shared" si="13"/>
        <v>21854.790000000008</v>
      </c>
    </row>
    <row r="54" spans="1:18" ht="27" customHeight="1">
      <c r="A54" s="122"/>
      <c r="B54" s="151" t="s">
        <v>133</v>
      </c>
      <c r="C54" s="124"/>
      <c r="D54" s="124">
        <f>январь!E31+январь!E32</f>
        <v>0</v>
      </c>
      <c r="E54" s="124">
        <f>февраль!E31+февраль!E32</f>
        <v>0</v>
      </c>
      <c r="F54" s="124">
        <f>март!E31+март!E32</f>
        <v>0</v>
      </c>
      <c r="G54" s="124">
        <f>апрель!E31+апрель!E32</f>
        <v>0</v>
      </c>
      <c r="H54" s="124">
        <f>май!E31+май!E32</f>
        <v>32192.35</v>
      </c>
      <c r="I54" s="124">
        <f>июнь!E31+июнь!E32</f>
        <v>22491.6</v>
      </c>
      <c r="J54" s="124">
        <f>июль!E31+июль!E32</f>
        <v>21801.71</v>
      </c>
      <c r="K54" s="153">
        <f>август!E31+август!E32</f>
        <v>19736.11</v>
      </c>
      <c r="L54" s="153">
        <f>сентябрь!E31+сентябрь!E32</f>
        <v>19134.31</v>
      </c>
      <c r="M54" s="153">
        <f>октябрь!E31+октябрь!E32</f>
        <v>20565.06</v>
      </c>
      <c r="N54" s="153">
        <f>ноябрь!E31+ноябрь!E32</f>
        <v>21256.5</v>
      </c>
      <c r="O54" s="153">
        <f>декабрь!E31+декабрь!E32</f>
        <v>21854.79</v>
      </c>
      <c r="P54" s="124">
        <f t="shared" si="10"/>
        <v>179032.43000000002</v>
      </c>
      <c r="Q54" s="125">
        <f>P54-O54</f>
        <v>157177.64</v>
      </c>
      <c r="R54" s="154">
        <f t="shared" si="11"/>
        <v>21854.790000000008</v>
      </c>
    </row>
    <row r="55" spans="1:18" ht="15">
      <c r="A55" s="122"/>
      <c r="B55" s="155" t="s">
        <v>129</v>
      </c>
      <c r="C55" s="158"/>
      <c r="D55" s="124">
        <f>январь!F38-январь!F33</f>
        <v>0</v>
      </c>
      <c r="E55" s="124">
        <f>февраль!F38-февраль!F33</f>
        <v>0</v>
      </c>
      <c r="F55" s="165">
        <f>март!F38-март!F33</f>
        <v>0</v>
      </c>
      <c r="G55" s="184">
        <f>апрель!F38-Свод!G68</f>
        <v>0</v>
      </c>
      <c r="H55" s="124">
        <f>май!F38-Свод!H68</f>
        <v>0</v>
      </c>
      <c r="I55" s="124">
        <f>июнь!F38-Свод!I68</f>
        <v>0</v>
      </c>
      <c r="J55" s="125">
        <f>июль!F38-Свод!J68</f>
        <v>21324</v>
      </c>
      <c r="K55" s="125">
        <f>август!F38-Свод!K68</f>
        <v>804.2</v>
      </c>
      <c r="L55" s="125">
        <f>сентябрь!F38-L56</f>
        <v>9598.3</v>
      </c>
      <c r="M55" s="125">
        <f>октябрь!F38-Свод!M68</f>
        <v>1993</v>
      </c>
      <c r="N55" s="125">
        <f>ноябрь!F38-Свод!N68</f>
        <v>1402.8</v>
      </c>
      <c r="O55" s="125">
        <f>декабрь!F38-Свод!O68</f>
        <v>1025</v>
      </c>
      <c r="P55" s="124">
        <f t="shared" si="10"/>
        <v>36147.3</v>
      </c>
      <c r="Q55" s="125">
        <f>P55</f>
        <v>36147.3</v>
      </c>
      <c r="R55" s="154">
        <f t="shared" si="11"/>
        <v>0</v>
      </c>
    </row>
    <row r="56" spans="1:18" ht="15" customHeight="1">
      <c r="A56" s="122"/>
      <c r="B56" s="155" t="s">
        <v>130</v>
      </c>
      <c r="C56" s="158"/>
      <c r="D56" s="165">
        <f>январь!G33</f>
        <v>0</v>
      </c>
      <c r="E56" s="165">
        <f>февраль!G33</f>
        <v>0</v>
      </c>
      <c r="F56" s="165">
        <f>март!G33</f>
        <v>0</v>
      </c>
      <c r="G56" s="184">
        <f>апрель!G29</f>
        <v>0</v>
      </c>
      <c r="H56" s="124">
        <f>май!G29</f>
        <v>0</v>
      </c>
      <c r="I56" s="124">
        <f>июнь!G29</f>
        <v>0</v>
      </c>
      <c r="J56" s="125">
        <f>июль!G33</f>
        <v>60</v>
      </c>
      <c r="K56" s="125">
        <f>август!G33</f>
        <v>593</v>
      </c>
      <c r="L56" s="125">
        <f>сентябрь!G33</f>
        <v>65</v>
      </c>
      <c r="M56" s="125">
        <f>октябрь!G33</f>
        <v>1736.9</v>
      </c>
      <c r="N56" s="124">
        <f>ноябрь!G33</f>
        <v>65</v>
      </c>
      <c r="O56" s="124">
        <f>декабрь!G33</f>
        <v>64</v>
      </c>
      <c r="P56" s="124">
        <f t="shared" si="10"/>
        <v>2583.9</v>
      </c>
      <c r="Q56" s="125">
        <f>P56</f>
        <v>2583.9</v>
      </c>
      <c r="R56" s="154">
        <f t="shared" si="11"/>
        <v>0</v>
      </c>
    </row>
    <row r="57" spans="1:18" ht="15">
      <c r="A57" s="122"/>
      <c r="B57" s="155" t="s">
        <v>137</v>
      </c>
      <c r="C57" s="158"/>
      <c r="D57" s="158"/>
      <c r="E57" s="158"/>
      <c r="F57" s="165">
        <f>март!G34</f>
        <v>0</v>
      </c>
      <c r="G57" s="184">
        <f>апрель!G34</f>
        <v>0</v>
      </c>
      <c r="H57" s="124">
        <f>май!G34</f>
        <v>0</v>
      </c>
      <c r="I57" s="124">
        <f>июнь!G34</f>
        <v>0</v>
      </c>
      <c r="J57" s="125">
        <f>июль!G34</f>
        <v>0</v>
      </c>
      <c r="K57" s="125">
        <f>август!G34</f>
        <v>0</v>
      </c>
      <c r="L57" s="125">
        <f>сентябрь!G34</f>
        <v>0</v>
      </c>
      <c r="M57" s="125">
        <f>октябрь!G29</f>
        <v>0</v>
      </c>
      <c r="N57" s="124">
        <f>ноябрь!G34</f>
        <v>4384.93</v>
      </c>
      <c r="O57" s="124">
        <f>декабрь!G29</f>
        <v>0</v>
      </c>
      <c r="P57" s="124">
        <f t="shared" si="10"/>
        <v>4384.93</v>
      </c>
      <c r="Q57" s="125">
        <f>P57</f>
        <v>4384.93</v>
      </c>
      <c r="R57" s="154">
        <f t="shared" si="11"/>
        <v>0</v>
      </c>
    </row>
    <row r="58" spans="1:18" ht="15">
      <c r="A58" s="122"/>
      <c r="B58" s="157" t="s">
        <v>47</v>
      </c>
      <c r="C58" s="124">
        <f>C59+C60+C61</f>
        <v>0</v>
      </c>
      <c r="D58" s="124">
        <f aca="true" t="shared" si="14" ref="D58:Q58">D59+D60+D61</f>
        <v>0</v>
      </c>
      <c r="E58" s="124">
        <f t="shared" si="14"/>
        <v>0</v>
      </c>
      <c r="F58" s="124">
        <f t="shared" si="14"/>
        <v>0</v>
      </c>
      <c r="G58" s="124">
        <f t="shared" si="14"/>
        <v>0</v>
      </c>
      <c r="H58" s="124">
        <f t="shared" si="14"/>
        <v>0</v>
      </c>
      <c r="I58" s="124">
        <f t="shared" si="14"/>
        <v>0</v>
      </c>
      <c r="J58" s="124">
        <f t="shared" si="14"/>
        <v>0</v>
      </c>
      <c r="K58" s="124">
        <f t="shared" si="14"/>
        <v>0</v>
      </c>
      <c r="L58" s="124">
        <f t="shared" si="14"/>
        <v>0</v>
      </c>
      <c r="M58" s="124">
        <f t="shared" si="14"/>
        <v>31720</v>
      </c>
      <c r="N58" s="124">
        <f t="shared" si="14"/>
        <v>0</v>
      </c>
      <c r="O58" s="124">
        <f t="shared" si="14"/>
        <v>0</v>
      </c>
      <c r="P58" s="124">
        <f t="shared" si="14"/>
        <v>31720</v>
      </c>
      <c r="Q58" s="124">
        <f t="shared" si="14"/>
        <v>31720</v>
      </c>
      <c r="R58" s="154">
        <f t="shared" si="11"/>
        <v>0</v>
      </c>
    </row>
    <row r="59" spans="1:18" s="132" customFormat="1" ht="14.25" customHeight="1">
      <c r="A59" s="128"/>
      <c r="B59" s="129" t="s">
        <v>205</v>
      </c>
      <c r="C59" s="118"/>
      <c r="D59" s="118"/>
      <c r="E59" s="118"/>
      <c r="F59" s="185">
        <f>март!F36</f>
        <v>0</v>
      </c>
      <c r="G59" s="185">
        <f>апрель!G36</f>
        <v>0</v>
      </c>
      <c r="H59" s="118">
        <f>май!G36</f>
        <v>0</v>
      </c>
      <c r="I59" s="118">
        <f>июнь!G36</f>
        <v>0</v>
      </c>
      <c r="J59" s="130">
        <f>июль!G36</f>
        <v>0</v>
      </c>
      <c r="K59" s="130">
        <f>август!G36</f>
        <v>0</v>
      </c>
      <c r="L59" s="130">
        <f>сентябрь!G36</f>
        <v>0</v>
      </c>
      <c r="M59" s="130">
        <f>октябрь!G36</f>
        <v>31720</v>
      </c>
      <c r="N59" s="118">
        <f>ноябрь!G36</f>
        <v>0</v>
      </c>
      <c r="O59" s="118">
        <f>декабрь!G36</f>
        <v>0</v>
      </c>
      <c r="P59" s="118">
        <f t="shared" si="10"/>
        <v>31720</v>
      </c>
      <c r="Q59" s="118">
        <f>P59</f>
        <v>31720</v>
      </c>
      <c r="R59" s="154">
        <f t="shared" si="11"/>
        <v>0</v>
      </c>
    </row>
    <row r="60" spans="1:18" s="132" customFormat="1" ht="15" hidden="1">
      <c r="A60" s="128"/>
      <c r="B60" s="129"/>
      <c r="C60" s="118"/>
      <c r="D60" s="118"/>
      <c r="E60" s="118"/>
      <c r="F60" s="185">
        <f>март!F37</f>
        <v>0</v>
      </c>
      <c r="G60" s="185">
        <f>апрель!G37</f>
        <v>0</v>
      </c>
      <c r="H60" s="118">
        <f>май!G37</f>
        <v>0</v>
      </c>
      <c r="I60" s="118">
        <f>июнь!G37</f>
        <v>0</v>
      </c>
      <c r="J60" s="130">
        <f>июль!G37</f>
        <v>0</v>
      </c>
      <c r="K60" s="130">
        <f>август!G37</f>
        <v>0</v>
      </c>
      <c r="L60" s="130">
        <f>сентябрь!G37</f>
        <v>0</v>
      </c>
      <c r="M60" s="130">
        <f>октябрь!G37</f>
        <v>0</v>
      </c>
      <c r="N60" s="118">
        <f>ноябрь!G35</f>
        <v>0</v>
      </c>
      <c r="O60" s="118">
        <f>декабрь!G35</f>
        <v>0</v>
      </c>
      <c r="P60" s="118">
        <f t="shared" si="10"/>
        <v>0</v>
      </c>
      <c r="Q60" s="118"/>
      <c r="R60" s="154">
        <f t="shared" si="11"/>
        <v>0</v>
      </c>
    </row>
    <row r="61" spans="1:18" s="132" customFormat="1" ht="15" hidden="1">
      <c r="A61" s="128"/>
      <c r="B61" s="129"/>
      <c r="C61" s="128"/>
      <c r="D61" s="128"/>
      <c r="E61" s="128"/>
      <c r="F61" s="118"/>
      <c r="G61" s="185"/>
      <c r="H61" s="118"/>
      <c r="I61" s="118"/>
      <c r="J61" s="118"/>
      <c r="K61" s="118"/>
      <c r="L61" s="118"/>
      <c r="M61" s="118"/>
      <c r="N61" s="118"/>
      <c r="O61" s="118"/>
      <c r="P61" s="118">
        <f t="shared" si="10"/>
        <v>0</v>
      </c>
      <c r="Q61" s="118"/>
      <c r="R61" s="154">
        <f t="shared" si="11"/>
        <v>0</v>
      </c>
    </row>
    <row r="62" spans="1:18" s="114" customFormat="1" ht="14.25">
      <c r="A62" s="110">
        <v>3</v>
      </c>
      <c r="B62" s="163" t="s">
        <v>140</v>
      </c>
      <c r="C62" s="170">
        <f>C63+C64+C65+C66</f>
        <v>0</v>
      </c>
      <c r="D62" s="170">
        <f aca="true" t="shared" si="15" ref="D62:R62">D63+D64+D65+D66</f>
        <v>0</v>
      </c>
      <c r="E62" s="170">
        <f t="shared" si="15"/>
        <v>0</v>
      </c>
      <c r="F62" s="170">
        <f t="shared" si="15"/>
        <v>0</v>
      </c>
      <c r="G62" s="170">
        <f t="shared" si="15"/>
        <v>0</v>
      </c>
      <c r="H62" s="170">
        <f t="shared" si="15"/>
        <v>4572.43</v>
      </c>
      <c r="I62" s="170">
        <f t="shared" si="15"/>
        <v>9055.52</v>
      </c>
      <c r="J62" s="170">
        <f t="shared" si="15"/>
        <v>2026.44</v>
      </c>
      <c r="K62" s="170">
        <f t="shared" si="15"/>
        <v>1798.58</v>
      </c>
      <c r="L62" s="170">
        <f t="shared" si="15"/>
        <v>1914.47</v>
      </c>
      <c r="M62" s="170">
        <f t="shared" si="15"/>
        <v>50724.88</v>
      </c>
      <c r="N62" s="170">
        <f t="shared" si="15"/>
        <v>1684.08</v>
      </c>
      <c r="O62" s="170">
        <f t="shared" si="15"/>
        <v>159249.79</v>
      </c>
      <c r="P62" s="112">
        <f t="shared" si="10"/>
        <v>231026.19</v>
      </c>
      <c r="Q62" s="170">
        <f t="shared" si="15"/>
        <v>72060.4</v>
      </c>
      <c r="R62" s="170">
        <f t="shared" si="15"/>
        <v>158965.79</v>
      </c>
    </row>
    <row r="63" spans="1:18" ht="15" customHeight="1">
      <c r="A63" s="122"/>
      <c r="B63" s="151" t="s">
        <v>133</v>
      </c>
      <c r="C63" s="124"/>
      <c r="D63" s="124">
        <f>январь!E42</f>
        <v>0</v>
      </c>
      <c r="E63" s="124">
        <f>февраль!E42</f>
        <v>0</v>
      </c>
      <c r="F63" s="124">
        <f>март!E42</f>
        <v>0</v>
      </c>
      <c r="G63" s="124">
        <f>апрель!E42</f>
        <v>0</v>
      </c>
      <c r="H63" s="124">
        <f>май!E42</f>
        <v>4202.43</v>
      </c>
      <c r="I63" s="124">
        <f>июнь!E42</f>
        <v>2155.52</v>
      </c>
      <c r="J63" s="124">
        <f>июль!E42</f>
        <v>2026.44</v>
      </c>
      <c r="K63" s="124">
        <f>август!E42</f>
        <v>1628.58</v>
      </c>
      <c r="L63" s="124">
        <f>сентябрь!E42</f>
        <v>1914.47</v>
      </c>
      <c r="M63" s="124">
        <f>октябрь!E42</f>
        <v>1902.88</v>
      </c>
      <c r="N63" s="124">
        <f>ноябрь!E42</f>
        <v>1684.08</v>
      </c>
      <c r="O63" s="124">
        <f>декабрь!E42</f>
        <v>2239.79</v>
      </c>
      <c r="P63" s="124">
        <f t="shared" si="10"/>
        <v>17754.19</v>
      </c>
      <c r="Q63" s="125">
        <f>P63-O63</f>
        <v>15514.399999999998</v>
      </c>
      <c r="R63" s="154">
        <f t="shared" si="11"/>
        <v>2239.790000000001</v>
      </c>
    </row>
    <row r="64" spans="1:18" ht="15">
      <c r="A64" s="122"/>
      <c r="B64" s="155" t="s">
        <v>129</v>
      </c>
      <c r="C64" s="124"/>
      <c r="D64" s="124">
        <f>январь!F47-Свод!D77</f>
        <v>0</v>
      </c>
      <c r="E64" s="124">
        <f>февраль!F47-Свод!E77</f>
        <v>0</v>
      </c>
      <c r="F64" s="124">
        <f>март!F47-Свод!F77</f>
        <v>0</v>
      </c>
      <c r="G64" s="124">
        <f>апрель!F47-Свод!G77</f>
        <v>0</v>
      </c>
      <c r="H64" s="124">
        <f>май!F47-Свод!H77</f>
        <v>370</v>
      </c>
      <c r="I64" s="124">
        <f>июнь!F43-Свод!I77</f>
        <v>0</v>
      </c>
      <c r="J64" s="124">
        <f>июль!E43</f>
        <v>0</v>
      </c>
      <c r="K64" s="125">
        <f>август!F42-Свод!K77</f>
        <v>170</v>
      </c>
      <c r="L64" s="125">
        <f>сентябрь!F42-Свод!L77</f>
        <v>0</v>
      </c>
      <c r="M64" s="125">
        <f>октябрь!F42-Свод!M77</f>
        <v>768</v>
      </c>
      <c r="N64" s="125">
        <f>ноябрь!F42-Свод!N77</f>
        <v>0</v>
      </c>
      <c r="O64" s="125">
        <f>декабрь!F42-Свод!O77</f>
        <v>284</v>
      </c>
      <c r="P64" s="124">
        <f t="shared" si="10"/>
        <v>1592</v>
      </c>
      <c r="Q64" s="125">
        <f>P64</f>
        <v>1592</v>
      </c>
      <c r="R64" s="154">
        <f t="shared" si="11"/>
        <v>0</v>
      </c>
    </row>
    <row r="65" spans="1:18" ht="15">
      <c r="A65" s="122"/>
      <c r="B65" s="155" t="s">
        <v>130</v>
      </c>
      <c r="C65" s="124"/>
      <c r="D65" s="124">
        <f>январь!G43</f>
        <v>0</v>
      </c>
      <c r="E65" s="124">
        <f>февраль!G39</f>
        <v>0</v>
      </c>
      <c r="F65" s="124">
        <f>март!G39</f>
        <v>0</v>
      </c>
      <c r="G65" s="124">
        <f>апрель!G39</f>
        <v>0</v>
      </c>
      <c r="H65" s="124">
        <f>май!G39</f>
        <v>0</v>
      </c>
      <c r="I65" s="124">
        <f>июнь!G39</f>
        <v>0</v>
      </c>
      <c r="J65" s="125">
        <f>июль!G39</f>
        <v>0</v>
      </c>
      <c r="K65" s="125">
        <f>август!G39</f>
        <v>0</v>
      </c>
      <c r="L65" s="125">
        <f>сентябрь!G39</f>
        <v>0</v>
      </c>
      <c r="M65" s="125">
        <f>октябрь!G39</f>
        <v>0</v>
      </c>
      <c r="N65" s="125">
        <f>ноябрь!G39</f>
        <v>0</v>
      </c>
      <c r="O65" s="125">
        <f>декабрь!G39</f>
        <v>0</v>
      </c>
      <c r="P65" s="124">
        <f t="shared" si="10"/>
        <v>0</v>
      </c>
      <c r="Q65" s="125"/>
      <c r="R65" s="154">
        <f t="shared" si="11"/>
        <v>0</v>
      </c>
    </row>
    <row r="66" spans="1:18" ht="15">
      <c r="A66" s="122"/>
      <c r="B66" s="157" t="s">
        <v>47</v>
      </c>
      <c r="C66" s="124">
        <f>C67+C68</f>
        <v>0</v>
      </c>
      <c r="D66" s="124">
        <f aca="true" t="shared" si="16" ref="D66:Q66">D67+D68</f>
        <v>0</v>
      </c>
      <c r="E66" s="124">
        <f t="shared" si="16"/>
        <v>0</v>
      </c>
      <c r="F66" s="124">
        <f t="shared" si="16"/>
        <v>0</v>
      </c>
      <c r="G66" s="124">
        <f t="shared" si="16"/>
        <v>0</v>
      </c>
      <c r="H66" s="124">
        <f t="shared" si="16"/>
        <v>0</v>
      </c>
      <c r="I66" s="124">
        <f t="shared" si="16"/>
        <v>6900</v>
      </c>
      <c r="J66" s="124">
        <f t="shared" si="16"/>
        <v>0</v>
      </c>
      <c r="K66" s="124">
        <f t="shared" si="16"/>
        <v>0</v>
      </c>
      <c r="L66" s="124">
        <f t="shared" si="16"/>
        <v>0</v>
      </c>
      <c r="M66" s="124">
        <f t="shared" si="16"/>
        <v>48054</v>
      </c>
      <c r="N66" s="124">
        <f t="shared" si="16"/>
        <v>0</v>
      </c>
      <c r="O66" s="124">
        <f>O67+O68+O69</f>
        <v>156726</v>
      </c>
      <c r="P66" s="124">
        <f t="shared" si="10"/>
        <v>211680</v>
      </c>
      <c r="Q66" s="124">
        <f t="shared" si="16"/>
        <v>54954</v>
      </c>
      <c r="R66" s="154">
        <f t="shared" si="11"/>
        <v>156726</v>
      </c>
    </row>
    <row r="67" spans="1:18" s="133" customFormat="1" ht="15">
      <c r="A67" s="134"/>
      <c r="B67" s="196" t="s">
        <v>204</v>
      </c>
      <c r="C67" s="44"/>
      <c r="D67" s="124">
        <f>январь!G45</f>
        <v>0</v>
      </c>
      <c r="E67" s="124">
        <f>февраль!G46</f>
        <v>0</v>
      </c>
      <c r="F67" s="124">
        <f>март!G45</f>
        <v>0</v>
      </c>
      <c r="G67" s="118">
        <f>апрель!G46</f>
        <v>0</v>
      </c>
      <c r="H67" s="118">
        <f>май!G45</f>
        <v>0</v>
      </c>
      <c r="I67" s="118">
        <f>июнь!G45</f>
        <v>6900</v>
      </c>
      <c r="J67" s="130">
        <f>июль!G45</f>
        <v>0</v>
      </c>
      <c r="K67" s="130">
        <f>август!G45</f>
        <v>0</v>
      </c>
      <c r="L67" s="130">
        <f>сентябрь!G45</f>
        <v>0</v>
      </c>
      <c r="M67" s="130">
        <f>октябрь!G46</f>
        <v>0</v>
      </c>
      <c r="N67" s="130">
        <f>ноябрь!G45</f>
        <v>0</v>
      </c>
      <c r="O67" s="130">
        <f>декабрь!G46</f>
        <v>0</v>
      </c>
      <c r="P67" s="118">
        <f t="shared" si="10"/>
        <v>6900</v>
      </c>
      <c r="Q67" s="130">
        <f>P67</f>
        <v>6900</v>
      </c>
      <c r="R67" s="154">
        <f t="shared" si="11"/>
        <v>0</v>
      </c>
    </row>
    <row r="68" spans="1:18" s="133" customFormat="1" ht="15">
      <c r="A68" s="134"/>
      <c r="B68" s="129" t="s">
        <v>208</v>
      </c>
      <c r="C68" s="124"/>
      <c r="D68" s="124"/>
      <c r="E68" s="124">
        <f>февраль!G45</f>
        <v>0</v>
      </c>
      <c r="F68" s="124">
        <f>март!G46</f>
        <v>0</v>
      </c>
      <c r="G68" s="118">
        <f>апрель!G45</f>
        <v>0</v>
      </c>
      <c r="H68" s="118">
        <f>май!G45</f>
        <v>0</v>
      </c>
      <c r="I68" s="118">
        <f>июнь!G46</f>
        <v>0</v>
      </c>
      <c r="J68" s="130">
        <f>июль!G46</f>
        <v>0</v>
      </c>
      <c r="K68" s="130">
        <f>август!G45</f>
        <v>0</v>
      </c>
      <c r="L68" s="130">
        <f>сентябрь!G46</f>
        <v>0</v>
      </c>
      <c r="M68" s="130">
        <f>октябрь!G45</f>
        <v>48054</v>
      </c>
      <c r="N68" s="130">
        <f>ноябрь!G45</f>
        <v>0</v>
      </c>
      <c r="O68" s="130">
        <f>декабрь!G46</f>
        <v>0</v>
      </c>
      <c r="P68" s="118">
        <f t="shared" si="10"/>
        <v>48054</v>
      </c>
      <c r="Q68" s="130">
        <f>P68</f>
        <v>48054</v>
      </c>
      <c r="R68" s="154">
        <f t="shared" si="11"/>
        <v>0</v>
      </c>
    </row>
    <row r="69" spans="1:18" s="133" customFormat="1" ht="15">
      <c r="A69" s="134"/>
      <c r="B69" s="135" t="s">
        <v>207</v>
      </c>
      <c r="C69" s="124"/>
      <c r="D69" s="124"/>
      <c r="E69" s="124"/>
      <c r="F69" s="124"/>
      <c r="G69" s="118">
        <f>апрель!G46</f>
        <v>0</v>
      </c>
      <c r="H69" s="118"/>
      <c r="I69" s="118"/>
      <c r="J69" s="130"/>
      <c r="K69" s="130"/>
      <c r="L69" s="130"/>
      <c r="M69" s="130"/>
      <c r="N69" s="130"/>
      <c r="O69" s="130">
        <f>декабрь!G45</f>
        <v>156726</v>
      </c>
      <c r="P69" s="118">
        <f t="shared" si="10"/>
        <v>156726</v>
      </c>
      <c r="Q69" s="130">
        <f>P69</f>
        <v>156726</v>
      </c>
      <c r="R69" s="154">
        <f t="shared" si="11"/>
        <v>0</v>
      </c>
    </row>
    <row r="70" spans="1:18" s="176" customFormat="1" ht="28.5">
      <c r="A70" s="110">
        <v>4</v>
      </c>
      <c r="B70" s="173" t="s">
        <v>143</v>
      </c>
      <c r="C70" s="174"/>
      <c r="D70" s="170">
        <f>январь!E51</f>
        <v>0</v>
      </c>
      <c r="E70" s="170">
        <f>февраль!E51</f>
        <v>0</v>
      </c>
      <c r="F70" s="170">
        <f>март!E51</f>
        <v>0</v>
      </c>
      <c r="G70" s="170">
        <f>апрель!E51</f>
        <v>0</v>
      </c>
      <c r="H70" s="112">
        <f>май!E51</f>
        <v>11060.74</v>
      </c>
      <c r="I70" s="112">
        <f>июнь!E51</f>
        <v>11060.74</v>
      </c>
      <c r="J70" s="139">
        <f>июль!E51</f>
        <v>11060.74</v>
      </c>
      <c r="K70" s="139">
        <f>август!E51</f>
        <v>11060.74</v>
      </c>
      <c r="L70" s="139">
        <f>сентябрь!E51</f>
        <v>11060.74</v>
      </c>
      <c r="M70" s="139">
        <f>октябрь!E51</f>
        <v>11060.74</v>
      </c>
      <c r="N70" s="139">
        <f>ноябрь!E51</f>
        <v>11060.74</v>
      </c>
      <c r="O70" s="139">
        <f>декабрь!E51</f>
        <v>11060.74</v>
      </c>
      <c r="P70" s="112">
        <f t="shared" si="10"/>
        <v>88485.92000000001</v>
      </c>
      <c r="Q70" s="139">
        <f>P70-O70</f>
        <v>77425.18000000001</v>
      </c>
      <c r="R70" s="160">
        <f t="shared" si="11"/>
        <v>11060.740000000005</v>
      </c>
    </row>
    <row r="71" spans="1:18" s="176" customFormat="1" ht="14.25">
      <c r="A71" s="138">
        <v>5</v>
      </c>
      <c r="B71" s="163" t="s">
        <v>144</v>
      </c>
      <c r="C71" s="174"/>
      <c r="D71" s="170">
        <f>январь!E52</f>
        <v>0</v>
      </c>
      <c r="E71" s="170">
        <f>февраль!E52</f>
        <v>0</v>
      </c>
      <c r="F71" s="170">
        <f>март!E52</f>
        <v>0</v>
      </c>
      <c r="G71" s="170">
        <f>апрель!E52</f>
        <v>0</v>
      </c>
      <c r="H71" s="112">
        <f>май!E52</f>
        <v>1945.6</v>
      </c>
      <c r="I71" s="112">
        <f>июнь!E52</f>
        <v>1945.6</v>
      </c>
      <c r="J71" s="139">
        <f>июль!E52</f>
        <v>1945.6</v>
      </c>
      <c r="K71" s="139">
        <f>август!E52</f>
        <v>1945.6</v>
      </c>
      <c r="L71" s="139">
        <f>сентябрь!E52</f>
        <v>1945.6</v>
      </c>
      <c r="M71" s="139">
        <f>октябрь!E52</f>
        <v>1945.6</v>
      </c>
      <c r="N71" s="139">
        <f>ноябрь!E52</f>
        <v>1945.6</v>
      </c>
      <c r="O71" s="139">
        <f>декабрь!E52</f>
        <v>1945.6</v>
      </c>
      <c r="P71" s="112">
        <f t="shared" si="10"/>
        <v>15564.800000000001</v>
      </c>
      <c r="Q71" s="139">
        <f>P71-O71</f>
        <v>13619.2</v>
      </c>
      <c r="R71" s="160">
        <f t="shared" si="11"/>
        <v>1945.6000000000004</v>
      </c>
    </row>
    <row r="72" spans="1:18" s="176" customFormat="1" ht="14.25">
      <c r="A72" s="138">
        <v>6</v>
      </c>
      <c r="B72" s="163" t="s">
        <v>145</v>
      </c>
      <c r="C72" s="174"/>
      <c r="D72" s="170">
        <f>январь!E53</f>
        <v>0</v>
      </c>
      <c r="E72" s="170">
        <f>февраль!E53</f>
        <v>0</v>
      </c>
      <c r="F72" s="170">
        <f>март!E53</f>
        <v>0</v>
      </c>
      <c r="G72" s="170">
        <f>апрель!E53</f>
        <v>0</v>
      </c>
      <c r="H72" s="112">
        <f>май!E53</f>
        <v>1021.44</v>
      </c>
      <c r="I72" s="112">
        <f>июнь!E53</f>
        <v>1021.44</v>
      </c>
      <c r="J72" s="139">
        <f>июль!E53</f>
        <v>1021.44</v>
      </c>
      <c r="K72" s="139">
        <f>август!E53</f>
        <v>1021.44</v>
      </c>
      <c r="L72" s="139">
        <f>сентябрь!E53</f>
        <v>1021.44</v>
      </c>
      <c r="M72" s="139">
        <f>октябрь!E53</f>
        <v>1021.44</v>
      </c>
      <c r="N72" s="139">
        <f>ноябрь!E53</f>
        <v>1021.44</v>
      </c>
      <c r="O72" s="139">
        <f>декабрь!E53</f>
        <v>1021.44</v>
      </c>
      <c r="P72" s="112">
        <f t="shared" si="10"/>
        <v>8171.520000000002</v>
      </c>
      <c r="Q72" s="139">
        <f>P72-O72</f>
        <v>7150.080000000002</v>
      </c>
      <c r="R72" s="160">
        <f t="shared" si="11"/>
        <v>1021.4400000000005</v>
      </c>
    </row>
    <row r="73" spans="1:18" s="176" customFormat="1" ht="14.25">
      <c r="A73" s="138">
        <v>7</v>
      </c>
      <c r="B73" s="163" t="s">
        <v>43</v>
      </c>
      <c r="C73" s="174">
        <v>0</v>
      </c>
      <c r="D73" s="170">
        <f>январь!E54</f>
        <v>0</v>
      </c>
      <c r="E73" s="170">
        <f>февраль!E54</f>
        <v>0</v>
      </c>
      <c r="F73" s="170">
        <f>март!E54</f>
        <v>0</v>
      </c>
      <c r="G73" s="170">
        <f>апрель!E54</f>
        <v>0</v>
      </c>
      <c r="H73" s="112">
        <f>май!E54</f>
        <v>0</v>
      </c>
      <c r="I73" s="112">
        <f>июнь!E54</f>
        <v>1483.93</v>
      </c>
      <c r="J73" s="139">
        <f>июль!E54</f>
        <v>1678.47</v>
      </c>
      <c r="K73" s="139">
        <f>август!E54</f>
        <v>1495.15</v>
      </c>
      <c r="L73" s="139">
        <f>сентябрь!E54</f>
        <v>1539.89</v>
      </c>
      <c r="M73" s="139">
        <f>октябрь!E54</f>
        <v>2340.13</v>
      </c>
      <c r="N73" s="139">
        <f>ноябрь!E54</f>
        <v>2165.69</v>
      </c>
      <c r="O73" s="139">
        <f>декабрь!E54</f>
        <v>1668.12</v>
      </c>
      <c r="P73" s="112">
        <f t="shared" si="10"/>
        <v>12371.380000000001</v>
      </c>
      <c r="Q73" s="112">
        <f>P73</f>
        <v>12371.380000000001</v>
      </c>
      <c r="R73" s="160">
        <f t="shared" si="11"/>
        <v>0</v>
      </c>
    </row>
    <row r="74" spans="1:18" s="176" customFormat="1" ht="14.25">
      <c r="A74" s="138">
        <v>8</v>
      </c>
      <c r="B74" s="163" t="s">
        <v>142</v>
      </c>
      <c r="C74" s="170">
        <v>0</v>
      </c>
      <c r="D74" s="170">
        <f aca="true" t="shared" si="17" ref="D74:Q74">D75+D76+D77+D78+D79+D80+D81+D82</f>
        <v>0</v>
      </c>
      <c r="E74" s="170">
        <f t="shared" si="17"/>
        <v>0</v>
      </c>
      <c r="F74" s="170">
        <f t="shared" si="17"/>
        <v>0</v>
      </c>
      <c r="G74" s="170">
        <f t="shared" si="17"/>
        <v>0</v>
      </c>
      <c r="H74" s="170">
        <f t="shared" si="17"/>
        <v>0</v>
      </c>
      <c r="I74" s="170">
        <f t="shared" si="17"/>
        <v>4115</v>
      </c>
      <c r="J74" s="170">
        <f t="shared" si="17"/>
        <v>3352.45</v>
      </c>
      <c r="K74" s="170">
        <f t="shared" si="17"/>
        <v>3838.3300000000004</v>
      </c>
      <c r="L74" s="170">
        <f t="shared" si="17"/>
        <v>3402.25</v>
      </c>
      <c r="M74" s="170">
        <f t="shared" si="17"/>
        <v>2818.01</v>
      </c>
      <c r="N74" s="139">
        <f>ноябрь!E55</f>
        <v>3033.7</v>
      </c>
      <c r="O74" s="170">
        <f t="shared" si="17"/>
        <v>3368.6400000000003</v>
      </c>
      <c r="P74" s="112">
        <f t="shared" si="10"/>
        <v>23928.38</v>
      </c>
      <c r="Q74" s="170">
        <f t="shared" si="17"/>
        <v>23928.38</v>
      </c>
      <c r="R74" s="160">
        <f t="shared" si="11"/>
        <v>0</v>
      </c>
    </row>
    <row r="75" spans="1:18" s="179" customFormat="1" ht="15">
      <c r="A75" s="136"/>
      <c r="B75" s="177" t="s">
        <v>61</v>
      </c>
      <c r="C75" s="118"/>
      <c r="D75" s="166">
        <f>январь!E56</f>
        <v>0</v>
      </c>
      <c r="E75" s="166">
        <f>февраль!E56</f>
        <v>0</v>
      </c>
      <c r="F75" s="166">
        <f>март!E56</f>
        <v>0</v>
      </c>
      <c r="G75" s="166">
        <f>апрель!E56</f>
        <v>0</v>
      </c>
      <c r="H75" s="118">
        <f>май!E56</f>
        <v>0</v>
      </c>
      <c r="I75" s="118">
        <f>июнь!E56</f>
        <v>1326.21</v>
      </c>
      <c r="J75" s="130">
        <f>июль!E56</f>
        <v>1197.62</v>
      </c>
      <c r="K75" s="130">
        <f>август!E56</f>
        <v>0</v>
      </c>
      <c r="L75" s="130">
        <f>сентябрь!E56</f>
        <v>544.59</v>
      </c>
      <c r="M75" s="130">
        <f>октябрь!E56</f>
        <v>569.99</v>
      </c>
      <c r="N75" s="130">
        <f>ноябрь!E56</f>
        <v>468.4</v>
      </c>
      <c r="O75" s="130">
        <f>декабрь!E56</f>
        <v>732.27</v>
      </c>
      <c r="P75" s="118">
        <f t="shared" si="10"/>
        <v>4839.08</v>
      </c>
      <c r="Q75" s="118">
        <f>P75</f>
        <v>4839.08</v>
      </c>
      <c r="R75" s="168">
        <f t="shared" si="11"/>
        <v>0</v>
      </c>
    </row>
    <row r="76" spans="1:18" s="179" customFormat="1" ht="15">
      <c r="A76" s="136"/>
      <c r="B76" s="177" t="s">
        <v>146</v>
      </c>
      <c r="C76" s="118"/>
      <c r="D76" s="166">
        <f>январь!E57</f>
        <v>0</v>
      </c>
      <c r="E76" s="166">
        <f>февраль!E57</f>
        <v>0</v>
      </c>
      <c r="F76" s="166">
        <f>март!E57</f>
        <v>0</v>
      </c>
      <c r="G76" s="166">
        <f>апрель!E57</f>
        <v>0</v>
      </c>
      <c r="H76" s="118">
        <f>май!E57</f>
        <v>0</v>
      </c>
      <c r="I76" s="118">
        <f>июнь!E57</f>
        <v>367.16</v>
      </c>
      <c r="J76" s="130">
        <f>июль!E57</f>
        <v>94.83</v>
      </c>
      <c r="K76" s="130">
        <f>август!E57</f>
        <v>270.58</v>
      </c>
      <c r="L76" s="130">
        <f>сентябрь!E57</f>
        <v>308.94</v>
      </c>
      <c r="M76" s="130">
        <f>октябрь!E57</f>
        <v>464.58</v>
      </c>
      <c r="N76" s="130">
        <f>ноябрь!E57</f>
        <v>302.06</v>
      </c>
      <c r="O76" s="130">
        <f>декабрь!E57</f>
        <v>489.71</v>
      </c>
      <c r="P76" s="118">
        <f t="shared" si="10"/>
        <v>2297.8599999999997</v>
      </c>
      <c r="Q76" s="118">
        <f aca="true" t="shared" si="18" ref="Q76:Q82">P76</f>
        <v>2297.8599999999997</v>
      </c>
      <c r="R76" s="168">
        <f t="shared" si="11"/>
        <v>0</v>
      </c>
    </row>
    <row r="77" spans="1:18" s="179" customFormat="1" ht="30">
      <c r="A77" s="136"/>
      <c r="B77" s="177" t="s">
        <v>63</v>
      </c>
      <c r="C77" s="118"/>
      <c r="D77" s="166">
        <f>январь!E58</f>
        <v>0</v>
      </c>
      <c r="E77" s="166">
        <f>февраль!E58</f>
        <v>0</v>
      </c>
      <c r="F77" s="166">
        <f>март!E58</f>
        <v>0</v>
      </c>
      <c r="G77" s="166">
        <f>апрель!E58</f>
        <v>0</v>
      </c>
      <c r="H77" s="118">
        <f>май!E58</f>
        <v>0</v>
      </c>
      <c r="I77" s="118">
        <f>июнь!E58</f>
        <v>1394.83</v>
      </c>
      <c r="J77" s="130">
        <f>июль!E58</f>
        <v>1028.17</v>
      </c>
      <c r="K77" s="130">
        <f>август!E58</f>
        <v>1775.81</v>
      </c>
      <c r="L77" s="130">
        <f>сентябрь!E58</f>
        <v>1125.33</v>
      </c>
      <c r="M77" s="130">
        <f>октябрь!E58</f>
        <v>775.52</v>
      </c>
      <c r="N77" s="130">
        <f>ноябрь!E58</f>
        <v>896.6099999999999</v>
      </c>
      <c r="O77" s="130">
        <f>декабрь!E58</f>
        <v>844.17</v>
      </c>
      <c r="P77" s="118">
        <f t="shared" si="10"/>
        <v>7840.44</v>
      </c>
      <c r="Q77" s="118">
        <f t="shared" si="18"/>
        <v>7840.44</v>
      </c>
      <c r="R77" s="168">
        <f t="shared" si="11"/>
        <v>0</v>
      </c>
    </row>
    <row r="78" spans="1:18" s="179" customFormat="1" ht="15">
      <c r="A78" s="136"/>
      <c r="B78" s="177" t="s">
        <v>68</v>
      </c>
      <c r="C78" s="118"/>
      <c r="D78" s="166">
        <f>январь!E59</f>
        <v>0</v>
      </c>
      <c r="E78" s="166">
        <f>февраль!E59</f>
        <v>0</v>
      </c>
      <c r="F78" s="166">
        <f>март!E59</f>
        <v>0</v>
      </c>
      <c r="G78" s="166">
        <f>апрель!E59</f>
        <v>0</v>
      </c>
      <c r="H78" s="118">
        <f>май!E59</f>
        <v>0</v>
      </c>
      <c r="I78" s="118">
        <f>июнь!E59</f>
        <v>682.91</v>
      </c>
      <c r="J78" s="130">
        <f>июль!E59</f>
        <v>682.91</v>
      </c>
      <c r="K78" s="130">
        <f>август!E59</f>
        <v>760.53</v>
      </c>
      <c r="L78" s="130">
        <f>сентябрь!E59</f>
        <v>760.53</v>
      </c>
      <c r="M78" s="130">
        <f>октябрь!E59</f>
        <v>760.53</v>
      </c>
      <c r="N78" s="130">
        <f>ноябрь!E59</f>
        <v>760.53</v>
      </c>
      <c r="O78" s="130">
        <f>декабрь!E59</f>
        <v>760.53</v>
      </c>
      <c r="P78" s="118">
        <f t="shared" si="10"/>
        <v>5168.469999999999</v>
      </c>
      <c r="Q78" s="118">
        <f t="shared" si="18"/>
        <v>5168.469999999999</v>
      </c>
      <c r="R78" s="168">
        <f t="shared" si="11"/>
        <v>0</v>
      </c>
    </row>
    <row r="79" spans="1:18" s="179" customFormat="1" ht="15">
      <c r="A79" s="136"/>
      <c r="B79" s="177" t="s">
        <v>73</v>
      </c>
      <c r="C79" s="118"/>
      <c r="D79" s="166">
        <f>январь!E60</f>
        <v>0</v>
      </c>
      <c r="E79" s="166">
        <f>февраль!E60</f>
        <v>0</v>
      </c>
      <c r="F79" s="166">
        <f>март!E60</f>
        <v>0</v>
      </c>
      <c r="G79" s="166">
        <f>апрель!E60</f>
        <v>0</v>
      </c>
      <c r="H79" s="118">
        <f>май!E60</f>
        <v>0</v>
      </c>
      <c r="I79" s="118">
        <f>июнь!E60</f>
        <v>0</v>
      </c>
      <c r="J79" s="130">
        <f>июль!E60</f>
        <v>0</v>
      </c>
      <c r="K79" s="130">
        <f>август!E60</f>
        <v>0</v>
      </c>
      <c r="L79" s="130">
        <f>сентябрь!E60</f>
        <v>0</v>
      </c>
      <c r="M79" s="130">
        <f>октябрь!E60</f>
        <v>0</v>
      </c>
      <c r="N79" s="130">
        <f>ноябрь!E60</f>
        <v>0</v>
      </c>
      <c r="O79" s="130">
        <f>декабрь!E60</f>
        <v>0</v>
      </c>
      <c r="P79" s="118">
        <f t="shared" si="10"/>
        <v>0</v>
      </c>
      <c r="Q79" s="118">
        <f t="shared" si="18"/>
        <v>0</v>
      </c>
      <c r="R79" s="168">
        <f t="shared" si="11"/>
        <v>0</v>
      </c>
    </row>
    <row r="80" spans="1:18" s="179" customFormat="1" ht="15">
      <c r="A80" s="136"/>
      <c r="B80" s="177" t="s">
        <v>71</v>
      </c>
      <c r="C80" s="118"/>
      <c r="D80" s="166">
        <f>январь!E61</f>
        <v>0</v>
      </c>
      <c r="E80" s="166">
        <f>февраль!E61</f>
        <v>0</v>
      </c>
      <c r="F80" s="166">
        <f>март!E61</f>
        <v>0</v>
      </c>
      <c r="G80" s="166">
        <f>апрель!E61</f>
        <v>0</v>
      </c>
      <c r="H80" s="118">
        <f>май!E61</f>
        <v>0</v>
      </c>
      <c r="I80" s="118">
        <f>июнь!E61</f>
        <v>326.33</v>
      </c>
      <c r="J80" s="130">
        <f>июль!E61</f>
        <v>326.33</v>
      </c>
      <c r="K80" s="130">
        <f>август!E61</f>
        <v>983.59</v>
      </c>
      <c r="L80" s="130">
        <f>сентябрь!E61</f>
        <v>604.19</v>
      </c>
      <c r="M80" s="130">
        <f>октябрь!E61</f>
        <v>221.88</v>
      </c>
      <c r="N80" s="130">
        <f>ноябрь!E61</f>
        <v>579.64</v>
      </c>
      <c r="O80" s="130">
        <f>декабрь!E61</f>
        <v>515.26</v>
      </c>
      <c r="P80" s="118">
        <f t="shared" si="10"/>
        <v>3557.2200000000003</v>
      </c>
      <c r="Q80" s="118">
        <f t="shared" si="18"/>
        <v>3557.2200000000003</v>
      </c>
      <c r="R80" s="168">
        <f t="shared" si="11"/>
        <v>0</v>
      </c>
    </row>
    <row r="81" spans="1:18" s="179" customFormat="1" ht="12.75" customHeight="1">
      <c r="A81" s="136"/>
      <c r="B81" s="177" t="s">
        <v>74</v>
      </c>
      <c r="C81" s="118"/>
      <c r="D81" s="166">
        <f>январь!E62</f>
        <v>0</v>
      </c>
      <c r="E81" s="166">
        <f>февраль!E62</f>
        <v>0</v>
      </c>
      <c r="F81" s="166">
        <f>март!E62</f>
        <v>0</v>
      </c>
      <c r="G81" s="166">
        <f>апрель!E62</f>
        <v>0</v>
      </c>
      <c r="H81" s="118">
        <f>май!E62</f>
        <v>0</v>
      </c>
      <c r="I81" s="118">
        <f>июнь!E62</f>
        <v>17.56</v>
      </c>
      <c r="J81" s="130">
        <f>июль!E62</f>
        <v>22.59</v>
      </c>
      <c r="K81" s="130">
        <f>август!E62</f>
        <v>47.82</v>
      </c>
      <c r="L81" s="130">
        <f>сентябрь!E62</f>
        <v>58.67</v>
      </c>
      <c r="M81" s="130">
        <f>октябрь!E62</f>
        <v>25.51</v>
      </c>
      <c r="N81" s="130">
        <f>ноябрь!E62</f>
        <v>26.46</v>
      </c>
      <c r="O81" s="130">
        <f>декабрь!E62</f>
        <v>26.7</v>
      </c>
      <c r="P81" s="118">
        <f t="shared" si="10"/>
        <v>225.30999999999997</v>
      </c>
      <c r="Q81" s="118">
        <f t="shared" si="18"/>
        <v>225.30999999999997</v>
      </c>
      <c r="R81" s="168">
        <f t="shared" si="11"/>
        <v>0</v>
      </c>
    </row>
    <row r="82" spans="1:18" s="179" customFormat="1" ht="15">
      <c r="A82" s="136"/>
      <c r="B82" s="177" t="s">
        <v>75</v>
      </c>
      <c r="C82" s="118"/>
      <c r="D82" s="166">
        <f>январь!E63</f>
        <v>0</v>
      </c>
      <c r="E82" s="166">
        <f>февраль!E63</f>
        <v>0</v>
      </c>
      <c r="F82" s="166">
        <f>март!E63</f>
        <v>0</v>
      </c>
      <c r="G82" s="166">
        <f>апрель!E63</f>
        <v>0</v>
      </c>
      <c r="H82" s="118">
        <f>май!E63</f>
        <v>0</v>
      </c>
      <c r="I82" s="118">
        <f>июнь!E63</f>
        <v>0</v>
      </c>
      <c r="J82" s="130">
        <f>июль!E63</f>
        <v>0</v>
      </c>
      <c r="K82" s="130">
        <f>август!E63</f>
        <v>0</v>
      </c>
      <c r="L82" s="130">
        <f>сентябрь!E63</f>
        <v>0</v>
      </c>
      <c r="M82" s="130">
        <f>октябрь!E63</f>
        <v>0</v>
      </c>
      <c r="N82" s="130">
        <f>ноябрь!E63</f>
        <v>0</v>
      </c>
      <c r="O82" s="130">
        <f>декабрь!E63</f>
        <v>0</v>
      </c>
      <c r="P82" s="118">
        <f t="shared" si="10"/>
        <v>0</v>
      </c>
      <c r="Q82" s="118">
        <f t="shared" si="18"/>
        <v>0</v>
      </c>
      <c r="R82" s="168">
        <f t="shared" si="11"/>
        <v>0</v>
      </c>
    </row>
    <row r="83" spans="1:18" s="189" customFormat="1" ht="32.25" customHeight="1">
      <c r="A83" s="186"/>
      <c r="B83" s="180" t="s">
        <v>54</v>
      </c>
      <c r="C83" s="112"/>
      <c r="D83" s="170">
        <f>январь!E66</f>
        <v>0</v>
      </c>
      <c r="E83" s="193">
        <f>февраль!E66</f>
        <v>0</v>
      </c>
      <c r="F83" s="170">
        <f>март!E66</f>
        <v>0</v>
      </c>
      <c r="G83" s="112">
        <f>апрель!E66</f>
        <v>0</v>
      </c>
      <c r="H83" s="112">
        <f>май!E66</f>
        <v>3890.53</v>
      </c>
      <c r="I83" s="112">
        <f>июнь!E66</f>
        <v>2911.49</v>
      </c>
      <c r="J83" s="112">
        <f>июль!E66</f>
        <v>3771.29</v>
      </c>
      <c r="K83" s="112">
        <f>август!E66</f>
        <v>4129.43</v>
      </c>
      <c r="L83" s="112">
        <f>сентябрь!E66</f>
        <v>3641.1</v>
      </c>
      <c r="M83" s="112">
        <f>октябрь!E66</f>
        <v>4332.57</v>
      </c>
      <c r="N83" s="112">
        <f>ноябрь!E66</f>
        <v>3838.3</v>
      </c>
      <c r="O83" s="112">
        <f>декабрь!E66</f>
        <v>4673.14</v>
      </c>
      <c r="P83" s="112">
        <f t="shared" si="10"/>
        <v>31187.85</v>
      </c>
      <c r="Q83" s="112">
        <f>P83-O83</f>
        <v>26514.71</v>
      </c>
      <c r="R83" s="160">
        <f t="shared" si="11"/>
        <v>4673.139999999999</v>
      </c>
    </row>
    <row r="84" spans="1:18" s="114" customFormat="1" ht="14.25">
      <c r="A84" s="138"/>
      <c r="B84" s="111" t="s">
        <v>147</v>
      </c>
      <c r="C84" s="112">
        <f aca="true" t="shared" si="19" ref="C84:O84">C74+C73+C72+C71+C70+C62+C53+C33+C83</f>
        <v>0</v>
      </c>
      <c r="D84" s="112">
        <f t="shared" si="19"/>
        <v>0</v>
      </c>
      <c r="E84" s="112">
        <f t="shared" si="19"/>
        <v>0</v>
      </c>
      <c r="F84" s="112">
        <f t="shared" si="19"/>
        <v>0</v>
      </c>
      <c r="G84" s="112">
        <f t="shared" si="19"/>
        <v>0</v>
      </c>
      <c r="H84" s="112">
        <f t="shared" si="19"/>
        <v>109169.85999999999</v>
      </c>
      <c r="I84" s="112">
        <f t="shared" si="19"/>
        <v>107585.14</v>
      </c>
      <c r="J84" s="112">
        <f t="shared" si="19"/>
        <v>118179.47</v>
      </c>
      <c r="K84" s="112">
        <f t="shared" si="19"/>
        <v>97893.09</v>
      </c>
      <c r="L84" s="112">
        <f t="shared" si="19"/>
        <v>103093.54000000001</v>
      </c>
      <c r="M84" s="112">
        <f t="shared" si="19"/>
        <v>182063.05</v>
      </c>
      <c r="N84" s="112">
        <f t="shared" si="19"/>
        <v>105252.12</v>
      </c>
      <c r="O84" s="112">
        <f t="shared" si="19"/>
        <v>263039.50000000006</v>
      </c>
      <c r="P84" s="112">
        <f t="shared" si="10"/>
        <v>1086275.77</v>
      </c>
      <c r="Q84" s="112">
        <f>Q74+Q73+Q72+Q71+Q70+Q62+Q53+Q33+Q83</f>
        <v>802347.0599999999</v>
      </c>
      <c r="R84" s="112">
        <f>R74+R73+R72+R71+R70+R62+R53+R33+R83</f>
        <v>283928.71</v>
      </c>
    </row>
    <row r="85" spans="2:18" s="140" customFormat="1" ht="15">
      <c r="B85" s="140" t="s">
        <v>115</v>
      </c>
      <c r="C85" s="124"/>
      <c r="D85" s="124">
        <f aca="true" t="shared" si="20" ref="D85:Q85">D16-D84</f>
        <v>0</v>
      </c>
      <c r="E85" s="124">
        <f t="shared" si="20"/>
        <v>0</v>
      </c>
      <c r="F85" s="124">
        <f t="shared" si="20"/>
        <v>0</v>
      </c>
      <c r="G85" s="124">
        <f t="shared" si="20"/>
        <v>0</v>
      </c>
      <c r="H85" s="124">
        <f t="shared" si="20"/>
        <v>7242.860000000015</v>
      </c>
      <c r="I85" s="124">
        <f t="shared" si="20"/>
        <v>12911.210000000006</v>
      </c>
      <c r="J85" s="124">
        <f t="shared" si="20"/>
        <v>-1240.6899999999732</v>
      </c>
      <c r="K85" s="124">
        <f t="shared" si="20"/>
        <v>21867.11</v>
      </c>
      <c r="L85" s="124">
        <f t="shared" si="20"/>
        <v>17016.65999999999</v>
      </c>
      <c r="M85" s="124">
        <f t="shared" si="20"/>
        <v>-81112.99999999999</v>
      </c>
      <c r="N85" s="124">
        <f t="shared" si="20"/>
        <v>15095.01000000001</v>
      </c>
      <c r="O85" s="124">
        <f t="shared" si="20"/>
        <v>-150241.82000000007</v>
      </c>
      <c r="P85" s="124">
        <f t="shared" si="20"/>
        <v>-158462.66000000003</v>
      </c>
      <c r="Q85" s="124">
        <f t="shared" si="20"/>
        <v>-137053.42000000016</v>
      </c>
      <c r="R85" s="154">
        <f>C85+P85</f>
        <v>-158462.66000000003</v>
      </c>
    </row>
    <row r="86" spans="2:18" s="76" customFormat="1" ht="15.75">
      <c r="B86" s="197" t="s">
        <v>101</v>
      </c>
      <c r="C86" s="198"/>
      <c r="D86" s="89"/>
      <c r="E86" s="89"/>
      <c r="F86" s="89"/>
      <c r="G86" s="89"/>
      <c r="H86" s="89"/>
      <c r="I86" s="89"/>
      <c r="J86" s="90"/>
      <c r="K86" s="90"/>
      <c r="L86" s="90"/>
      <c r="M86" s="90"/>
      <c r="N86" s="90"/>
      <c r="O86" s="90"/>
      <c r="P86" s="124"/>
      <c r="Q86" s="90"/>
      <c r="R86" s="154"/>
    </row>
    <row r="87" spans="1:18" ht="15">
      <c r="A87" s="122"/>
      <c r="B87" s="123" t="s">
        <v>55</v>
      </c>
      <c r="C87" s="124"/>
      <c r="D87" s="124">
        <f>январь!E69</f>
        <v>0</v>
      </c>
      <c r="E87" s="124">
        <f>февраль!E69</f>
        <v>0</v>
      </c>
      <c r="F87" s="124">
        <f>март!E69</f>
        <v>0</v>
      </c>
      <c r="G87" s="124">
        <f>апрель!E69</f>
        <v>0</v>
      </c>
      <c r="H87" s="124">
        <f>май!E69</f>
        <v>43119.72</v>
      </c>
      <c r="I87" s="124">
        <f>июнь!E69</f>
        <v>34244.01</v>
      </c>
      <c r="J87" s="125">
        <f>июль!E69</f>
        <v>35457.25</v>
      </c>
      <c r="K87" s="125">
        <f>август!E69</f>
        <v>38745.72</v>
      </c>
      <c r="L87" s="125">
        <f>сентябрь!E69</f>
        <v>45000.02</v>
      </c>
      <c r="M87" s="125">
        <f>октябрь!E69</f>
        <v>56959.57</v>
      </c>
      <c r="N87" s="125">
        <f>ноябрь!E69</f>
        <v>45499.48</v>
      </c>
      <c r="O87" s="125">
        <f>декабрь!E69</f>
        <v>40317.03</v>
      </c>
      <c r="P87" s="124">
        <f t="shared" si="10"/>
        <v>339342.80000000005</v>
      </c>
      <c r="Q87" s="125">
        <f>Q21+Q10</f>
        <v>238758.77999999997</v>
      </c>
      <c r="R87" s="154">
        <f t="shared" si="11"/>
        <v>100584.02000000008</v>
      </c>
    </row>
    <row r="88" spans="1:18" ht="15">
      <c r="A88" s="122"/>
      <c r="B88" s="123" t="s">
        <v>105</v>
      </c>
      <c r="C88" s="124"/>
      <c r="D88" s="124">
        <f>январь!E70</f>
        <v>0</v>
      </c>
      <c r="E88" s="124">
        <f>февраль!E70</f>
        <v>0</v>
      </c>
      <c r="F88" s="124">
        <f>март!E70</f>
        <v>0</v>
      </c>
      <c r="G88" s="124">
        <f>апрель!E70</f>
        <v>0</v>
      </c>
      <c r="H88" s="124">
        <f>май!E70</f>
        <v>19194.08</v>
      </c>
      <c r="I88" s="124">
        <f>июнь!E70</f>
        <v>0</v>
      </c>
      <c r="J88" s="125">
        <f>июль!E70</f>
        <v>0</v>
      </c>
      <c r="K88" s="125">
        <f>август!E70</f>
        <v>0</v>
      </c>
      <c r="L88" s="125">
        <f>сентябрь!E70</f>
        <v>4645.02</v>
      </c>
      <c r="M88" s="125">
        <f>октябрь!E70</f>
        <v>40408.36</v>
      </c>
      <c r="N88" s="125">
        <f>ноябрь!E70</f>
        <v>54366.53</v>
      </c>
      <c r="O88" s="125">
        <f>декабрь!E70</f>
        <v>91454.47</v>
      </c>
      <c r="P88" s="124">
        <f t="shared" si="10"/>
        <v>210068.46000000002</v>
      </c>
      <c r="Q88" s="125">
        <f>Q22</f>
        <v>103750.66</v>
      </c>
      <c r="R88" s="154">
        <f t="shared" si="11"/>
        <v>106317.80000000002</v>
      </c>
    </row>
    <row r="89" spans="1:18" ht="15">
      <c r="A89" s="122"/>
      <c r="B89" s="123" t="s">
        <v>57</v>
      </c>
      <c r="C89" s="124"/>
      <c r="D89" s="124">
        <f>январь!E71</f>
        <v>0</v>
      </c>
      <c r="E89" s="124">
        <f>февраль!E71</f>
        <v>0</v>
      </c>
      <c r="F89" s="124">
        <f>март!E71</f>
        <v>0</v>
      </c>
      <c r="G89" s="124">
        <f>апрель!E71</f>
        <v>0</v>
      </c>
      <c r="H89" s="124">
        <f>май!E71</f>
        <v>19873.38</v>
      </c>
      <c r="I89" s="124">
        <f>июнь!E71</f>
        <v>19416.35</v>
      </c>
      <c r="J89" s="125">
        <f>июль!E71</f>
        <v>19831.76</v>
      </c>
      <c r="K89" s="125">
        <f>август!E71</f>
        <v>13157.53</v>
      </c>
      <c r="L89" s="125">
        <f>сентябрь!E71</f>
        <v>21820.67</v>
      </c>
      <c r="M89" s="125">
        <f>октябрь!E71</f>
        <v>24034.04</v>
      </c>
      <c r="N89" s="125">
        <f>ноябрь!E71</f>
        <v>27424.76</v>
      </c>
      <c r="O89" s="125">
        <f>декабрь!E71</f>
        <v>26353.15</v>
      </c>
      <c r="P89" s="124">
        <f t="shared" si="10"/>
        <v>171911.63999999998</v>
      </c>
      <c r="Q89" s="125">
        <f>Q9+Q23</f>
        <v>116624.38</v>
      </c>
      <c r="R89" s="154">
        <f t="shared" si="11"/>
        <v>55287.25999999998</v>
      </c>
    </row>
    <row r="90" spans="1:18" ht="15">
      <c r="A90" s="122" t="s">
        <v>94</v>
      </c>
      <c r="B90" s="123" t="s">
        <v>110</v>
      </c>
      <c r="C90" s="124"/>
      <c r="D90" s="124">
        <f>январь!E72</f>
        <v>0</v>
      </c>
      <c r="E90" s="124">
        <f>февраль!E72</f>
        <v>0</v>
      </c>
      <c r="F90" s="124">
        <f>март!E72</f>
        <v>0</v>
      </c>
      <c r="G90" s="124">
        <f>апрель!E72</f>
        <v>0</v>
      </c>
      <c r="H90" s="124">
        <f>май!E72</f>
        <v>9800.94</v>
      </c>
      <c r="I90" s="124">
        <f>июнь!E72</f>
        <v>10168.5</v>
      </c>
      <c r="J90" s="125">
        <f>июль!E72</f>
        <v>10627.36</v>
      </c>
      <c r="K90" s="125">
        <f>август!E72</f>
        <v>11873.64</v>
      </c>
      <c r="L90" s="125">
        <f>сентябрь!E72</f>
        <v>11917.8</v>
      </c>
      <c r="M90" s="125">
        <f>октябрь!E72</f>
        <v>11350.92</v>
      </c>
      <c r="N90" s="125">
        <f>ноябрь!E72</f>
        <v>10774</v>
      </c>
      <c r="O90" s="125">
        <f>декабрь!E72</f>
        <v>10175.97</v>
      </c>
      <c r="P90" s="124">
        <f t="shared" si="10"/>
        <v>86689.13</v>
      </c>
      <c r="Q90" s="125">
        <f>Q19</f>
        <v>55666.1</v>
      </c>
      <c r="R90" s="154">
        <f t="shared" si="11"/>
        <v>31023.030000000006</v>
      </c>
    </row>
    <row r="91" spans="1:18" ht="15">
      <c r="A91" s="122"/>
      <c r="B91" s="123" t="s">
        <v>59</v>
      </c>
      <c r="C91" s="124"/>
      <c r="D91" s="124">
        <f>январь!E73</f>
        <v>0</v>
      </c>
      <c r="E91" s="124">
        <f>февраль!E73</f>
        <v>0</v>
      </c>
      <c r="F91" s="124">
        <f>март!E73</f>
        <v>0</v>
      </c>
      <c r="G91" s="124">
        <f>апрель!E73</f>
        <v>0</v>
      </c>
      <c r="H91" s="124">
        <f>май!E73</f>
        <v>12448.71</v>
      </c>
      <c r="I91" s="124">
        <f>июнь!E73</f>
        <v>13585.98</v>
      </c>
      <c r="J91" s="125">
        <f>июль!E73</f>
        <v>11523.58</v>
      </c>
      <c r="K91" s="125">
        <f>август!E73</f>
        <v>11494.71</v>
      </c>
      <c r="L91" s="125">
        <f>сентябрь!E73</f>
        <v>13036.15</v>
      </c>
      <c r="M91" s="125">
        <f>октябрь!E73</f>
        <v>13757.99</v>
      </c>
      <c r="N91" s="125">
        <f>ноябрь!E73</f>
        <v>14152.53</v>
      </c>
      <c r="O91" s="125">
        <f>декабрь!E73</f>
        <v>17997.99</v>
      </c>
      <c r="P91" s="124">
        <f t="shared" si="10"/>
        <v>107997.64</v>
      </c>
      <c r="Q91" s="125">
        <f>Q11+Q20</f>
        <v>64723.310000000005</v>
      </c>
      <c r="R91" s="154">
        <f t="shared" si="11"/>
        <v>43274.329999999994</v>
      </c>
    </row>
    <row r="92" spans="1:18" s="114" customFormat="1" ht="14.25">
      <c r="A92" s="138"/>
      <c r="B92" s="111" t="s">
        <v>148</v>
      </c>
      <c r="C92" s="112">
        <f aca="true" t="shared" si="21" ref="C92:H92">SUM(C87:C91)</f>
        <v>0</v>
      </c>
      <c r="D92" s="112">
        <f t="shared" si="21"/>
        <v>0</v>
      </c>
      <c r="E92" s="112">
        <f t="shared" si="21"/>
        <v>0</v>
      </c>
      <c r="F92" s="112">
        <f t="shared" si="21"/>
        <v>0</v>
      </c>
      <c r="G92" s="112">
        <f t="shared" si="21"/>
        <v>0</v>
      </c>
      <c r="H92" s="112">
        <f t="shared" si="21"/>
        <v>104436.83000000002</v>
      </c>
      <c r="I92" s="112">
        <f aca="true" t="shared" si="22" ref="I92:R92">SUM(I87:I91)</f>
        <v>77414.84</v>
      </c>
      <c r="J92" s="112">
        <f t="shared" si="22"/>
        <v>77439.95</v>
      </c>
      <c r="K92" s="112">
        <f t="shared" si="22"/>
        <v>75271.6</v>
      </c>
      <c r="L92" s="112">
        <f t="shared" si="22"/>
        <v>96419.65999999999</v>
      </c>
      <c r="M92" s="112">
        <f t="shared" si="22"/>
        <v>146510.88</v>
      </c>
      <c r="N92" s="112">
        <f t="shared" si="22"/>
        <v>152217.30000000002</v>
      </c>
      <c r="O92" s="112">
        <f t="shared" si="22"/>
        <v>186298.61</v>
      </c>
      <c r="P92" s="112">
        <f t="shared" si="22"/>
        <v>916009.67</v>
      </c>
      <c r="Q92" s="112">
        <f t="shared" si="22"/>
        <v>579523.23</v>
      </c>
      <c r="R92" s="112">
        <f t="shared" si="22"/>
        <v>336486.4400000001</v>
      </c>
    </row>
    <row r="93" spans="2:18" s="140" customFormat="1" ht="15">
      <c r="B93" s="140" t="s">
        <v>115</v>
      </c>
      <c r="C93" s="141"/>
      <c r="D93" s="141">
        <f aca="true" t="shared" si="23" ref="D93:Q93">D24-D92</f>
        <v>0</v>
      </c>
      <c r="E93" s="141">
        <f t="shared" si="23"/>
        <v>0</v>
      </c>
      <c r="F93" s="141">
        <f t="shared" si="23"/>
        <v>0</v>
      </c>
      <c r="G93" s="141">
        <f t="shared" si="23"/>
        <v>0</v>
      </c>
      <c r="H93" s="141">
        <f t="shared" si="23"/>
        <v>157029.74</v>
      </c>
      <c r="I93" s="141">
        <f t="shared" si="23"/>
        <v>-158532.49</v>
      </c>
      <c r="J93" s="141">
        <f t="shared" si="23"/>
        <v>21325.62999999999</v>
      </c>
      <c r="K93" s="141">
        <f t="shared" si="23"/>
        <v>-41022.170000000006</v>
      </c>
      <c r="L93" s="141">
        <f t="shared" si="23"/>
        <v>-15371.099999999991</v>
      </c>
      <c r="M93" s="141">
        <f t="shared" si="23"/>
        <v>-22016.009999999995</v>
      </c>
      <c r="N93" s="141">
        <f t="shared" si="23"/>
        <v>-15639.140000000014</v>
      </c>
      <c r="O93" s="141">
        <f t="shared" si="23"/>
        <v>-13229.059999999998</v>
      </c>
      <c r="P93" s="141">
        <f t="shared" si="23"/>
        <v>-87454.59999999998</v>
      </c>
      <c r="Q93" s="141">
        <f t="shared" si="23"/>
        <v>-46951.79999999993</v>
      </c>
      <c r="R93" s="154">
        <f>C93+P93</f>
        <v>-87454.59999999998</v>
      </c>
    </row>
    <row r="94" spans="1:18" s="114" customFormat="1" ht="14.25">
      <c r="A94" s="138"/>
      <c r="B94" s="111" t="s">
        <v>116</v>
      </c>
      <c r="C94" s="112">
        <f aca="true" t="shared" si="24" ref="C94:Q95">C84+C92</f>
        <v>0</v>
      </c>
      <c r="D94" s="112">
        <f>D84+D92</f>
        <v>0</v>
      </c>
      <c r="E94" s="112">
        <f t="shared" si="24"/>
        <v>0</v>
      </c>
      <c r="F94" s="112">
        <f t="shared" si="24"/>
        <v>0</v>
      </c>
      <c r="G94" s="112">
        <f t="shared" si="24"/>
        <v>0</v>
      </c>
      <c r="H94" s="112">
        <f t="shared" si="24"/>
        <v>213606.69</v>
      </c>
      <c r="I94" s="112">
        <f t="shared" si="24"/>
        <v>184999.97999999998</v>
      </c>
      <c r="J94" s="112">
        <f t="shared" si="24"/>
        <v>195619.41999999998</v>
      </c>
      <c r="K94" s="112">
        <f t="shared" si="24"/>
        <v>173164.69</v>
      </c>
      <c r="L94" s="112">
        <f t="shared" si="24"/>
        <v>199513.2</v>
      </c>
      <c r="M94" s="112">
        <f t="shared" si="24"/>
        <v>328573.93</v>
      </c>
      <c r="N94" s="112">
        <f t="shared" si="24"/>
        <v>257469.42</v>
      </c>
      <c r="O94" s="112">
        <f t="shared" si="24"/>
        <v>449338.11000000004</v>
      </c>
      <c r="P94" s="112">
        <f t="shared" si="24"/>
        <v>2002285.44</v>
      </c>
      <c r="Q94" s="112">
        <f t="shared" si="24"/>
        <v>1381870.29</v>
      </c>
      <c r="R94" s="160">
        <f t="shared" si="11"/>
        <v>620415.1499999999</v>
      </c>
    </row>
    <row r="95" spans="2:18" s="140" customFormat="1" ht="30">
      <c r="B95" s="143" t="s">
        <v>117</v>
      </c>
      <c r="C95" s="144"/>
      <c r="D95" s="144">
        <f t="shared" si="24"/>
        <v>0</v>
      </c>
      <c r="E95" s="144">
        <f t="shared" si="24"/>
        <v>0</v>
      </c>
      <c r="F95" s="144">
        <f t="shared" si="24"/>
        <v>0</v>
      </c>
      <c r="G95" s="144">
        <f t="shared" si="24"/>
        <v>0</v>
      </c>
      <c r="H95" s="144">
        <f t="shared" si="24"/>
        <v>164272.6</v>
      </c>
      <c r="I95" s="144">
        <f t="shared" si="24"/>
        <v>-145621.27999999997</v>
      </c>
      <c r="J95" s="144">
        <f t="shared" si="24"/>
        <v>20084.940000000017</v>
      </c>
      <c r="K95" s="144">
        <f t="shared" si="24"/>
        <v>-19155.060000000005</v>
      </c>
      <c r="L95" s="144">
        <f t="shared" si="24"/>
        <v>1645.5599999999977</v>
      </c>
      <c r="M95" s="144">
        <f t="shared" si="24"/>
        <v>-103129.00999999998</v>
      </c>
      <c r="N95" s="144">
        <f t="shared" si="24"/>
        <v>-544.1300000000047</v>
      </c>
      <c r="O95" s="144">
        <f t="shared" si="24"/>
        <v>-163470.88000000006</v>
      </c>
      <c r="P95" s="144">
        <f>P93+P85</f>
        <v>-245917.26</v>
      </c>
      <c r="Q95" s="144">
        <f t="shared" si="24"/>
        <v>-184005.2200000001</v>
      </c>
      <c r="R95" s="144">
        <f>C95+P95</f>
        <v>-245917.26</v>
      </c>
    </row>
    <row r="96" spans="2:18" s="140" customFormat="1" ht="15"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9" spans="2:3" ht="12.75">
      <c r="B99" s="127" t="s">
        <v>122</v>
      </c>
      <c r="C99" s="127" t="s">
        <v>210</v>
      </c>
    </row>
    <row r="101" spans="2:3" ht="12.75">
      <c r="B101" s="127" t="s">
        <v>124</v>
      </c>
      <c r="C101" s="127" t="s">
        <v>125</v>
      </c>
    </row>
  </sheetData>
  <sheetProtection/>
  <mergeCells count="5">
    <mergeCell ref="B86:C86"/>
    <mergeCell ref="B1:R1"/>
    <mergeCell ref="B18:C18"/>
    <mergeCell ref="B30:R30"/>
    <mergeCell ref="B31:C31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scale="93" r:id="rId1"/>
  <rowBreaks count="1" manualBreakCount="1"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5">
      <selection activeCell="E56" sqref="E56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199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178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179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>
        <v>11848.2</v>
      </c>
      <c r="F11" s="23">
        <v>90.44</v>
      </c>
      <c r="G11" s="23">
        <f aca="true" t="shared" si="0" ref="G11:G23">E11+F11</f>
        <v>11938.640000000001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>
        <v>3385.2</v>
      </c>
      <c r="F12" s="23">
        <v>221</v>
      </c>
      <c r="G12" s="23">
        <f t="shared" si="0"/>
        <v>3606.2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>
        <v>181</v>
      </c>
      <c r="G14" s="23">
        <f t="shared" si="0"/>
        <v>181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>
        <v>18618.24</v>
      </c>
      <c r="F15" s="23"/>
      <c r="G15" s="23">
        <f t="shared" si="0"/>
        <v>18618.24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>
        <v>10131.18</v>
      </c>
      <c r="F16" s="23"/>
      <c r="G16" s="23">
        <f t="shared" si="0"/>
        <v>10131.18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>
        <v>643.62</v>
      </c>
      <c r="F17" s="23"/>
      <c r="G17" s="23">
        <f t="shared" si="0"/>
        <v>643.62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>
        <v>781.18</v>
      </c>
      <c r="F18" s="23"/>
      <c r="G18" s="23">
        <f t="shared" si="0"/>
        <v>781.18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>
        <v>4687</v>
      </c>
      <c r="F19" s="23"/>
      <c r="G19" s="23">
        <f t="shared" si="0"/>
        <v>4687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>
        <v>883.45</v>
      </c>
      <c r="F20" s="23"/>
      <c r="G20" s="23">
        <f t="shared" si="0"/>
        <v>883.45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1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50978.07</v>
      </c>
      <c r="F27" s="172">
        <f>F11+F12+F13+F14+F15+F16+F17+F18+F19+F24+F20+F21+F22+F23</f>
        <v>492.44</v>
      </c>
      <c r="G27" s="172">
        <f>G11+G12+G13+G14+G15+G16+G17+G18+G19+G24+G20+G21+G22+G23</f>
        <v>51470.51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>
        <v>16132.31</v>
      </c>
      <c r="F31" s="23">
        <v>804.2</v>
      </c>
      <c r="G31" s="23">
        <f aca="true" t="shared" si="1" ref="G31:G37">E31+F31</f>
        <v>16936.51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>
        <v>3603.8</v>
      </c>
      <c r="F32" s="23"/>
      <c r="G32" s="23">
        <f t="shared" si="1"/>
        <v>3603.8</v>
      </c>
      <c r="H32" s="19"/>
    </row>
    <row r="33" spans="1:8" s="2" customFormat="1" ht="15">
      <c r="A33" s="17" t="s">
        <v>35</v>
      </c>
      <c r="B33" s="156" t="s">
        <v>130</v>
      </c>
      <c r="C33" s="15"/>
      <c r="D33" s="19"/>
      <c r="E33" s="23"/>
      <c r="F33" s="23">
        <v>593</v>
      </c>
      <c r="G33" s="23">
        <f t="shared" si="1"/>
        <v>593</v>
      </c>
      <c r="H33" s="19"/>
    </row>
    <row r="34" spans="1:8" s="2" customFormat="1" ht="15">
      <c r="A34" s="17" t="s">
        <v>36</v>
      </c>
      <c r="B34" s="18" t="s">
        <v>50</v>
      </c>
      <c r="C34" s="15" t="s">
        <v>15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138</v>
      </c>
      <c r="B35" s="18" t="s">
        <v>47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1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19736.11</v>
      </c>
      <c r="F38" s="172">
        <f>F31+F32+F33+F34+F35</f>
        <v>1397.2</v>
      </c>
      <c r="G38" s="172">
        <f>G31+G32+G33+G34+G35</f>
        <v>21133.309999999998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>
        <v>1628.58</v>
      </c>
      <c r="F42" s="25">
        <v>170</v>
      </c>
      <c r="G42" s="26">
        <f>E42+F42</f>
        <v>1798.58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2059.6400000000003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42">
        <f>SUM(E42:E46)</f>
        <v>1628.58</v>
      </c>
      <c r="F47" s="44">
        <f>SUM(F42:F44)</f>
        <v>170</v>
      </c>
      <c r="G47" s="42">
        <f>SUM(G42:G46)</f>
        <v>1798.58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>
        <v>11060.74</v>
      </c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>
        <v>1945.6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>
        <v>1021.44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>
        <v>1495.15</v>
      </c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>
        <f>E56+E57+E58+E59+E60+E61+E62+E63+E64</f>
        <v>3838.3300000000004</v>
      </c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>
        <v>270.58</v>
      </c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>
        <f>1141.41+634.4</f>
        <v>1775.81</v>
      </c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>
        <v>760.53</v>
      </c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>
        <v>983.59</v>
      </c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>
        <v>47.82</v>
      </c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19361.260000000002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>
        <v>4129.43</v>
      </c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>
        <v>38745.72</v>
      </c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>
        <v>13157.53</v>
      </c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>
        <v>11873.64</v>
      </c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>
        <v>11494.71</v>
      </c>
      <c r="F73" s="26"/>
      <c r="G73" s="23"/>
      <c r="I73" s="13">
        <f>E72+E73</f>
        <v>23368.35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75271.6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173164.69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32" right="0.27" top="0.46" bottom="0.67" header="0.33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8">
      <selection activeCell="F34" sqref="F34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199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180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181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>
        <v>11848.2</v>
      </c>
      <c r="F11" s="23"/>
      <c r="G11" s="23">
        <f aca="true" t="shared" si="0" ref="G11:G23">E11+F11</f>
        <v>11848.2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>
        <v>3385.2</v>
      </c>
      <c r="F12" s="23">
        <v>293</v>
      </c>
      <c r="G12" s="23">
        <f t="shared" si="0"/>
        <v>3678.2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>
        <v>164</v>
      </c>
      <c r="G14" s="23">
        <f t="shared" si="0"/>
        <v>164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>
        <v>18618.24</v>
      </c>
      <c r="F15" s="23"/>
      <c r="G15" s="23">
        <f t="shared" si="0"/>
        <v>18618.24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>
        <v>10131.18</v>
      </c>
      <c r="F16" s="23"/>
      <c r="G16" s="23">
        <f t="shared" si="0"/>
        <v>10131.18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>
        <v>643.62</v>
      </c>
      <c r="F17" s="23"/>
      <c r="G17" s="23">
        <f t="shared" si="0"/>
        <v>643.62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>
        <v>4687</v>
      </c>
      <c r="F19" s="23"/>
      <c r="G19" s="23">
        <f t="shared" si="0"/>
        <v>4687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1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49313.44</v>
      </c>
      <c r="F27" s="172">
        <f>F11+F12+F13+F14+F15+F16+F17+F18+F19+F24+F20+F21+F22+F23</f>
        <v>457</v>
      </c>
      <c r="G27" s="172">
        <f>G11+G12+G13+G14+G15+G16+G17+G18+G19+G24+G20+G21+G22+G23</f>
        <v>49770.44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>
        <v>16007.44</v>
      </c>
      <c r="F31" s="23">
        <v>9598.3</v>
      </c>
      <c r="G31" s="23">
        <f aca="true" t="shared" si="1" ref="G31:G37">E31+F31</f>
        <v>25605.739999999998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>
        <v>3126.87</v>
      </c>
      <c r="F32" s="23"/>
      <c r="G32" s="23">
        <f t="shared" si="1"/>
        <v>3126.87</v>
      </c>
      <c r="H32" s="19"/>
    </row>
    <row r="33" spans="1:8" s="2" customFormat="1" ht="15">
      <c r="A33" s="17" t="s">
        <v>35</v>
      </c>
      <c r="B33" s="156" t="s">
        <v>130</v>
      </c>
      <c r="C33" s="15"/>
      <c r="D33" s="19"/>
      <c r="E33" s="23"/>
      <c r="F33" s="23">
        <v>65</v>
      </c>
      <c r="G33" s="23">
        <f t="shared" si="1"/>
        <v>65</v>
      </c>
      <c r="H33" s="19"/>
    </row>
    <row r="34" spans="1:8" s="2" customFormat="1" ht="15">
      <c r="A34" s="17" t="s">
        <v>36</v>
      </c>
      <c r="B34" s="18" t="s">
        <v>50</v>
      </c>
      <c r="C34" s="15" t="s">
        <v>15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138</v>
      </c>
      <c r="B35" s="18" t="s">
        <v>47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1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19134.31</v>
      </c>
      <c r="F38" s="172">
        <f>F31+F32+F33+F34+F35</f>
        <v>9663.3</v>
      </c>
      <c r="G38" s="172">
        <f>G31+G32+G33+G34+G35</f>
        <v>28797.609999999997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>
        <v>1914.47</v>
      </c>
      <c r="F42" s="25"/>
      <c r="G42" s="26">
        <f>E42+F42</f>
        <v>1914.47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10120.3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42">
        <f>SUM(E42:E46)</f>
        <v>1914.47</v>
      </c>
      <c r="F47" s="44">
        <f>SUM(F42:F44)</f>
        <v>0</v>
      </c>
      <c r="G47" s="42">
        <f>SUM(G42:G46)</f>
        <v>1914.47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>
        <v>11060.74</v>
      </c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>
        <v>1945.6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>
        <v>1021.44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>
        <v>1539.89</v>
      </c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>
        <f>E56+E57+E58+E59+E60+E61+E62+E63+E64</f>
        <v>3402.25</v>
      </c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>
        <v>544.59</v>
      </c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>
        <v>308.94</v>
      </c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>
        <f>634.4+490.93</f>
        <v>1125.33</v>
      </c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>
        <v>760.53</v>
      </c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>
        <v>604.19</v>
      </c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>
        <v>58.67</v>
      </c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18969.92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>
        <v>3641.1</v>
      </c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>
        <v>45000.02</v>
      </c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>
        <v>4645.02</v>
      </c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>
        <v>21820.67</v>
      </c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>
        <v>11917.8</v>
      </c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>
        <v>13036.15</v>
      </c>
      <c r="F73" s="26"/>
      <c r="G73" s="23"/>
      <c r="I73" s="13">
        <f>E72+E73</f>
        <v>24953.949999999997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96419.65999999999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199513.2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47" right="0.17" top="0.6" bottom="0.6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8">
      <selection activeCell="E45" sqref="E45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199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182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183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>
        <v>11848.2</v>
      </c>
      <c r="F11" s="23">
        <v>660</v>
      </c>
      <c r="G11" s="23">
        <f aca="true" t="shared" si="0" ref="G11:G23">E11+F11</f>
        <v>12508.2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>
        <v>3385.2</v>
      </c>
      <c r="F12" s="23">
        <v>225</v>
      </c>
      <c r="G12" s="23">
        <f t="shared" si="0"/>
        <v>3610.2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>
        <v>166</v>
      </c>
      <c r="G14" s="23">
        <f t="shared" si="0"/>
        <v>166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>
        <v>18618.24</v>
      </c>
      <c r="F15" s="23"/>
      <c r="G15" s="23">
        <f t="shared" si="0"/>
        <v>18618.24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>
        <v>10131.18</v>
      </c>
      <c r="F16" s="23"/>
      <c r="G16" s="23">
        <f t="shared" si="0"/>
        <v>10131.18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>
        <v>643.62</v>
      </c>
      <c r="F17" s="23"/>
      <c r="G17" s="23">
        <f t="shared" si="0"/>
        <v>643.62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>
        <v>4687</v>
      </c>
      <c r="F19" s="23"/>
      <c r="G19" s="23">
        <f t="shared" si="0"/>
        <v>4687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>
        <v>1440.28</v>
      </c>
      <c r="F20" s="23"/>
      <c r="G20" s="23">
        <f t="shared" si="0"/>
        <v>1440.28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1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50753.72</v>
      </c>
      <c r="F27" s="172">
        <f>F11+F12+F13+F14+F15+F16+F17+F18+F19+F24+F20+F21+F22+F23</f>
        <v>1051</v>
      </c>
      <c r="G27" s="172">
        <f>G11+G12+G13+G14+G15+G16+G17+G18+G19+G24+G20+G21+G22+G23</f>
        <v>51804.72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>
        <v>16202.79</v>
      </c>
      <c r="F31" s="23">
        <v>1960</v>
      </c>
      <c r="G31" s="23">
        <f aca="true" t="shared" si="1" ref="G31:G37">E31+F31</f>
        <v>18162.79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>
        <v>4362.27</v>
      </c>
      <c r="F32" s="23">
        <v>33</v>
      </c>
      <c r="G32" s="23">
        <f t="shared" si="1"/>
        <v>4395.27</v>
      </c>
      <c r="H32" s="19"/>
    </row>
    <row r="33" spans="1:8" s="2" customFormat="1" ht="15">
      <c r="A33" s="17" t="s">
        <v>35</v>
      </c>
      <c r="B33" s="156" t="s">
        <v>130</v>
      </c>
      <c r="C33" s="15"/>
      <c r="D33" s="19"/>
      <c r="E33" s="23"/>
      <c r="F33" s="23">
        <v>1736.9</v>
      </c>
      <c r="G33" s="23">
        <f t="shared" si="1"/>
        <v>1736.9</v>
      </c>
      <c r="H33" s="19"/>
    </row>
    <row r="34" spans="1:8" s="2" customFormat="1" ht="15">
      <c r="A34" s="17" t="s">
        <v>36</v>
      </c>
      <c r="B34" s="18" t="s">
        <v>50</v>
      </c>
      <c r="C34" s="15" t="s">
        <v>15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138</v>
      </c>
      <c r="B35" s="18" t="s">
        <v>47</v>
      </c>
      <c r="C35" s="15" t="s">
        <v>9</v>
      </c>
      <c r="D35" s="19">
        <v>1</v>
      </c>
      <c r="E35" s="23">
        <f>E36+E37</f>
        <v>31720</v>
      </c>
      <c r="F35" s="23">
        <f>F36+F37</f>
        <v>0</v>
      </c>
      <c r="G35" s="23">
        <f t="shared" si="1"/>
        <v>31720</v>
      </c>
      <c r="H35" s="19"/>
    </row>
    <row r="36" spans="1:8" s="4" customFormat="1" ht="24.75">
      <c r="A36" s="55"/>
      <c r="B36" s="18" t="s">
        <v>205</v>
      </c>
      <c r="C36" s="161"/>
      <c r="D36" s="35"/>
      <c r="E36" s="36">
        <v>31720</v>
      </c>
      <c r="F36" s="36"/>
      <c r="G36" s="36">
        <f t="shared" si="1"/>
        <v>31720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52285.06</v>
      </c>
      <c r="F38" s="172">
        <f>F31+F32+F33+F34+F35</f>
        <v>3729.9</v>
      </c>
      <c r="G38" s="172">
        <f>G31+G32+G33+G34+G35</f>
        <v>56014.96000000001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>
        <v>1902.88</v>
      </c>
      <c r="F42" s="25">
        <v>768</v>
      </c>
      <c r="G42" s="26">
        <f>E42+F42</f>
        <v>2670.88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 t="s">
        <v>206</v>
      </c>
      <c r="C45" s="15"/>
      <c r="D45" s="19"/>
      <c r="E45" s="23">
        <f>24027+24027</f>
        <v>48054</v>
      </c>
      <c r="F45" s="26"/>
      <c r="G45" s="37">
        <f>E45+F45</f>
        <v>48054</v>
      </c>
      <c r="H45" s="19"/>
      <c r="K45" s="12">
        <f>F27+F38+F47</f>
        <v>5548.9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172">
        <f>SUM(E42:E46)</f>
        <v>49956.88</v>
      </c>
      <c r="F47" s="194">
        <f>SUM(F42:F44)</f>
        <v>768</v>
      </c>
      <c r="G47" s="172">
        <f>SUM(G42:G46)</f>
        <v>50724.88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>
        <v>11060.74</v>
      </c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>
        <v>1945.6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>
        <v>1021.44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>
        <v>2340.13</v>
      </c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>
        <f>E56+E57+E58+E59+E60+E61+E62+E63+E64</f>
        <v>2818.01</v>
      </c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>
        <v>569.99</v>
      </c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>
        <v>464.58</v>
      </c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>
        <f>634.4+141.12</f>
        <v>775.52</v>
      </c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>
        <v>760.53</v>
      </c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>
        <v>221.88</v>
      </c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>
        <v>25.51</v>
      </c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19185.92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>
        <v>4332.57</v>
      </c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>
        <v>56959.57</v>
      </c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>
        <v>40408.36</v>
      </c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>
        <v>24034.04</v>
      </c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>
        <v>11350.92</v>
      </c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>
        <v>13757.99</v>
      </c>
      <c r="F73" s="26"/>
      <c r="G73" s="23"/>
      <c r="I73" s="13">
        <f>E72+E73</f>
        <v>25108.91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146510.88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328573.93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34" right="0.28" top="0.57" bottom="0.5" header="0.5" footer="0.3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5">
      <selection activeCell="G38" sqref="G38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199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184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185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>
        <v>13374.57</v>
      </c>
      <c r="F11" s="23">
        <v>140</v>
      </c>
      <c r="G11" s="23">
        <f aca="true" t="shared" si="0" ref="G11:G23">E11+F11</f>
        <v>13514.57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>
        <v>3707.61</v>
      </c>
      <c r="F12" s="23">
        <v>227</v>
      </c>
      <c r="G12" s="23">
        <f t="shared" si="0"/>
        <v>3934.61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>
        <v>170</v>
      </c>
      <c r="G14" s="23">
        <f t="shared" si="0"/>
        <v>170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>
        <v>18618.24</v>
      </c>
      <c r="F15" s="23"/>
      <c r="G15" s="23">
        <f t="shared" si="0"/>
        <v>18618.24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>
        <v>10131.18</v>
      </c>
      <c r="F16" s="23"/>
      <c r="G16" s="23">
        <f t="shared" si="0"/>
        <v>10131.18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>
        <v>643.62</v>
      </c>
      <c r="F17" s="23"/>
      <c r="G17" s="23">
        <f t="shared" si="0"/>
        <v>643.62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>
        <v>530.84</v>
      </c>
      <c r="F18" s="23"/>
      <c r="G18" s="23">
        <f t="shared" si="0"/>
        <v>530.84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>
        <v>4687</v>
      </c>
      <c r="F19" s="23"/>
      <c r="G19" s="23">
        <f t="shared" si="0"/>
        <v>4687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>
        <v>1163.28</v>
      </c>
      <c r="F20" s="23"/>
      <c r="G20" s="23">
        <f t="shared" si="0"/>
        <v>1163.28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1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52856.34</v>
      </c>
      <c r="F27" s="172">
        <f>F11+F12+F13+F14+F15+F16+F17+F18+F19+F24+F20+F21+F22+F23</f>
        <v>537</v>
      </c>
      <c r="G27" s="172">
        <f>G11+G12+G13+G14+G15+G16+G17+G18+G19+G24+G20+G21+G22+G23</f>
        <v>53393.34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>
        <v>18058.96</v>
      </c>
      <c r="F31" s="23">
        <v>570</v>
      </c>
      <c r="G31" s="23">
        <f aca="true" t="shared" si="1" ref="G31:G37">E31+F31</f>
        <v>18628.96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>
        <v>3197.54</v>
      </c>
      <c r="F32" s="23">
        <v>832.8</v>
      </c>
      <c r="G32" s="23">
        <f t="shared" si="1"/>
        <v>4030.34</v>
      </c>
      <c r="H32" s="19"/>
    </row>
    <row r="33" spans="1:8" s="2" customFormat="1" ht="15">
      <c r="A33" s="17" t="s">
        <v>35</v>
      </c>
      <c r="B33" s="156" t="s">
        <v>130</v>
      </c>
      <c r="C33" s="15"/>
      <c r="D33" s="19"/>
      <c r="E33" s="23"/>
      <c r="F33" s="23">
        <v>65</v>
      </c>
      <c r="G33" s="23">
        <f t="shared" si="1"/>
        <v>65</v>
      </c>
      <c r="H33" s="19"/>
    </row>
    <row r="34" spans="1:8" s="2" customFormat="1" ht="15">
      <c r="A34" s="17" t="s">
        <v>36</v>
      </c>
      <c r="B34" s="18" t="s">
        <v>50</v>
      </c>
      <c r="C34" s="15" t="s">
        <v>9</v>
      </c>
      <c r="D34" s="19">
        <v>1</v>
      </c>
      <c r="E34" s="23">
        <v>4384.93</v>
      </c>
      <c r="F34" s="23"/>
      <c r="G34" s="23">
        <f t="shared" si="1"/>
        <v>4384.93</v>
      </c>
      <c r="H34" s="19"/>
    </row>
    <row r="35" spans="1:8" s="2" customFormat="1" ht="15">
      <c r="A35" s="17" t="s">
        <v>138</v>
      </c>
      <c r="B35" s="18" t="s">
        <v>47</v>
      </c>
      <c r="C35" s="15"/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1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25641.43</v>
      </c>
      <c r="F38" s="172">
        <f>F31+F32+F33+F34+F35</f>
        <v>1467.8</v>
      </c>
      <c r="G38" s="172">
        <f>G31+G32+G33+G34+G35</f>
        <v>27109.23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>
        <v>1684.08</v>
      </c>
      <c r="F42" s="25"/>
      <c r="G42" s="26">
        <f>E42+F42</f>
        <v>1684.08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2004.8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42">
        <f>SUM(E42:E46)</f>
        <v>1684.08</v>
      </c>
      <c r="F47" s="44">
        <f>SUM(F42:F44)</f>
        <v>0</v>
      </c>
      <c r="G47" s="42">
        <f>SUM(G42:G46)</f>
        <v>1684.08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>
        <v>11060.74</v>
      </c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>
        <v>1945.6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>
        <v>1021.44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>
        <v>2165.69</v>
      </c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>
        <f>E56+E57+E58+E59+E60+E61+E62+E63+E64</f>
        <v>3033.7</v>
      </c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>
        <v>468.4</v>
      </c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>
        <v>302.06</v>
      </c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>
        <f>262.21+634.4</f>
        <v>896.6099999999999</v>
      </c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>
        <v>760.53</v>
      </c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>
        <v>579.64</v>
      </c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>
        <v>26.46</v>
      </c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19227.170000000002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>
        <v>3838.3</v>
      </c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>
        <v>45499.48</v>
      </c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>
        <v>54366.53</v>
      </c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>
        <v>27424.76</v>
      </c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>
        <v>10774</v>
      </c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>
        <v>14152.53</v>
      </c>
      <c r="F73" s="26"/>
      <c r="G73" s="23"/>
      <c r="I73" s="13">
        <f>E72+E73</f>
        <v>24926.53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152217.30000000002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257469.42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41" right="0.18" top="0.57" bottom="0.6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B61">
      <selection activeCell="E20" sqref="E20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199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186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187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>
        <v>13782.61</v>
      </c>
      <c r="F11" s="23">
        <v>529</v>
      </c>
      <c r="G11" s="23">
        <f aca="true" t="shared" si="0" ref="G11:G23">E11+F11</f>
        <v>14311.61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>
        <v>4030.01</v>
      </c>
      <c r="F12" s="23">
        <v>2034</v>
      </c>
      <c r="G12" s="23">
        <f t="shared" si="0"/>
        <v>6064.01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>
        <v>223</v>
      </c>
      <c r="G14" s="23">
        <f t="shared" si="0"/>
        <v>223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>
        <v>18618.24</v>
      </c>
      <c r="F15" s="23"/>
      <c r="G15" s="23">
        <f t="shared" si="0"/>
        <v>18618.24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>
        <v>10131.18</v>
      </c>
      <c r="F16" s="23"/>
      <c r="G16" s="23">
        <f t="shared" si="0"/>
        <v>10131.18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>
        <v>643.62</v>
      </c>
      <c r="F17" s="23"/>
      <c r="G17" s="23">
        <f t="shared" si="0"/>
        <v>643.62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>
        <f>915.97+782.6</f>
        <v>1698.5700000000002</v>
      </c>
      <c r="F18" s="23"/>
      <c r="G18" s="23">
        <f t="shared" si="0"/>
        <v>1698.5700000000002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>
        <v>4687</v>
      </c>
      <c r="F19" s="23"/>
      <c r="G19" s="23">
        <f t="shared" si="0"/>
        <v>4687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>
        <v>731.01</v>
      </c>
      <c r="F20" s="23"/>
      <c r="G20" s="23">
        <f t="shared" si="0"/>
        <v>731.01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1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54322.240000000005</v>
      </c>
      <c r="F27" s="172">
        <f>F11+F12+F13+F14+F15+F16+F17+F18+F19+F24+F20+F21+F22+F23</f>
        <v>2786</v>
      </c>
      <c r="G27" s="172">
        <f>G11+G12+G13+G14+G15+G16+G17+G18+G19+G24+G20+G21+G22+G23</f>
        <v>57108.240000000005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>
        <v>18596.98</v>
      </c>
      <c r="F31" s="23"/>
      <c r="G31" s="23">
        <f aca="true" t="shared" si="1" ref="G31:G37">E31+F31</f>
        <v>18596.98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>
        <v>3257.81</v>
      </c>
      <c r="F32" s="23">
        <v>1025</v>
      </c>
      <c r="G32" s="23">
        <f t="shared" si="1"/>
        <v>4282.8099999999995</v>
      </c>
      <c r="H32" s="19"/>
    </row>
    <row r="33" spans="1:8" s="2" customFormat="1" ht="15">
      <c r="A33" s="17" t="s">
        <v>35</v>
      </c>
      <c r="B33" s="156" t="s">
        <v>130</v>
      </c>
      <c r="C33" s="15"/>
      <c r="D33" s="19"/>
      <c r="E33" s="23"/>
      <c r="F33" s="23">
        <v>64</v>
      </c>
      <c r="G33" s="23">
        <f t="shared" si="1"/>
        <v>64</v>
      </c>
      <c r="H33" s="19"/>
    </row>
    <row r="34" spans="1:8" s="2" customFormat="1" ht="15">
      <c r="A34" s="17" t="s">
        <v>36</v>
      </c>
      <c r="B34" s="18" t="s">
        <v>50</v>
      </c>
      <c r="C34" s="15" t="s">
        <v>15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138</v>
      </c>
      <c r="B35" s="18" t="s">
        <v>47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1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21854.79</v>
      </c>
      <c r="F38" s="172">
        <f>F31+F32+F33+F34+F35</f>
        <v>1089</v>
      </c>
      <c r="G38" s="172">
        <f>G31+G32+G33+G34+G35</f>
        <v>22943.79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>
        <v>2239.79</v>
      </c>
      <c r="F42" s="25">
        <v>284</v>
      </c>
      <c r="G42" s="26">
        <f>E42+F42</f>
        <v>2523.79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 t="s">
        <v>207</v>
      </c>
      <c r="C45" s="15"/>
      <c r="D45" s="19"/>
      <c r="E45" s="23">
        <v>156726</v>
      </c>
      <c r="F45" s="26"/>
      <c r="G45" s="37">
        <f>E45+F45</f>
        <v>156726</v>
      </c>
      <c r="H45" s="19"/>
      <c r="K45" s="12">
        <f>F27+F38+F47</f>
        <v>4159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42">
        <f>SUM(E42:E46)</f>
        <v>158965.79</v>
      </c>
      <c r="F47" s="44">
        <f>SUM(F42:F44)</f>
        <v>284</v>
      </c>
      <c r="G47" s="42">
        <f>SUM(G42:G46)</f>
        <v>159249.79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>
        <v>11060.74</v>
      </c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>
        <v>1945.6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>
        <v>1021.44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>
        <v>1668.12</v>
      </c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>
        <f>E56+E57+E58+E59+E60+E61+E62+E63+E64</f>
        <v>3368.6400000000003</v>
      </c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>
        <v>732.27</v>
      </c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>
        <v>489.71</v>
      </c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>
        <f>634.4+209.77</f>
        <v>844.17</v>
      </c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>
        <v>760.53</v>
      </c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>
        <v>515.26</v>
      </c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>
        <v>26.7</v>
      </c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19064.54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>
        <v>4673.14</v>
      </c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>
        <v>40317.03</v>
      </c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>
        <v>91454.47</v>
      </c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>
        <v>26353.15</v>
      </c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>
        <v>10175.97</v>
      </c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>
        <v>17997.99</v>
      </c>
      <c r="F73" s="26"/>
      <c r="G73" s="23"/>
      <c r="I73" s="13">
        <f>E72+E73</f>
        <v>28173.96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186298.61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449338.11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42" right="0.33" top="0.57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"/>
  <sheetViews>
    <sheetView zoomScalePageLayoutView="0" workbookViewId="0" topLeftCell="B1">
      <pane xSplit="2" ySplit="2" topLeftCell="M92" activePane="bottomRight" state="frozen"/>
      <selection pane="topLeft" activeCell="B1" sqref="B1"/>
      <selection pane="topRight" activeCell="D1" sqref="D1"/>
      <selection pane="bottomLeft" activeCell="B3" sqref="B3"/>
      <selection pane="bottomRight" activeCell="B1" sqref="A1:IV16384"/>
    </sheetView>
  </sheetViews>
  <sheetFormatPr defaultColWidth="9.140625" defaultRowHeight="15"/>
  <cols>
    <col min="1" max="1" width="4.00390625" style="127" customWidth="1"/>
    <col min="2" max="2" width="41.7109375" style="127" customWidth="1"/>
    <col min="3" max="3" width="13.28125" style="127" customWidth="1"/>
    <col min="4" max="4" width="12.00390625" style="127" customWidth="1"/>
    <col min="5" max="8" width="10.7109375" style="127" bestFit="1" customWidth="1"/>
    <col min="9" max="9" width="11.57421875" style="127" bestFit="1" customWidth="1"/>
    <col min="10" max="10" width="11.57421875" style="127" customWidth="1"/>
    <col min="11" max="11" width="10.7109375" style="127" bestFit="1" customWidth="1"/>
    <col min="12" max="12" width="11.28125" style="127" bestFit="1" customWidth="1"/>
    <col min="13" max="13" width="10.7109375" style="127" bestFit="1" customWidth="1"/>
    <col min="14" max="14" width="12.00390625" style="127" customWidth="1"/>
    <col min="15" max="15" width="12.421875" style="127" customWidth="1"/>
    <col min="16" max="16" width="14.00390625" style="127" customWidth="1"/>
    <col min="17" max="17" width="13.421875" style="127" bestFit="1" customWidth="1"/>
    <col min="18" max="18" width="12.8515625" style="127" bestFit="1" customWidth="1"/>
    <col min="19" max="19" width="13.00390625" style="126" bestFit="1" customWidth="1"/>
    <col min="20" max="20" width="12.8515625" style="127" bestFit="1" customWidth="1"/>
    <col min="21" max="21" width="12.28125" style="127" bestFit="1" customWidth="1"/>
    <col min="22" max="22" width="10.421875" style="127" bestFit="1" customWidth="1"/>
    <col min="23" max="23" width="9.140625" style="127" customWidth="1"/>
    <col min="24" max="24" width="10.421875" style="127" bestFit="1" customWidth="1"/>
    <col min="25" max="25" width="9.140625" style="127" customWidth="1"/>
    <col min="26" max="26" width="10.421875" style="127" bestFit="1" customWidth="1"/>
    <col min="27" max="16384" width="9.140625" style="127" customWidth="1"/>
  </cols>
  <sheetData>
    <row r="1" spans="2:19" s="59" customFormat="1" ht="20.25" customHeight="1">
      <c r="B1" s="199" t="s">
        <v>192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63"/>
    </row>
    <row r="2" spans="2:19" s="64" customFormat="1" ht="51">
      <c r="B2" s="65"/>
      <c r="C2" s="66" t="s">
        <v>193</v>
      </c>
      <c r="D2" s="67" t="s">
        <v>76</v>
      </c>
      <c r="E2" s="67" t="s">
        <v>77</v>
      </c>
      <c r="F2" s="67" t="s">
        <v>78</v>
      </c>
      <c r="G2" s="67" t="s">
        <v>79</v>
      </c>
      <c r="H2" s="67" t="s">
        <v>80</v>
      </c>
      <c r="I2" s="67" t="s">
        <v>81</v>
      </c>
      <c r="J2" s="67" t="s">
        <v>82</v>
      </c>
      <c r="K2" s="67" t="s">
        <v>83</v>
      </c>
      <c r="L2" s="67" t="s">
        <v>84</v>
      </c>
      <c r="M2" s="67" t="s">
        <v>85</v>
      </c>
      <c r="N2" s="67" t="s">
        <v>86</v>
      </c>
      <c r="O2" s="67" t="s">
        <v>87</v>
      </c>
      <c r="P2" s="67" t="s">
        <v>88</v>
      </c>
      <c r="Q2" s="66" t="s">
        <v>89</v>
      </c>
      <c r="R2" s="66" t="s">
        <v>90</v>
      </c>
      <c r="S2" s="68"/>
    </row>
    <row r="3" spans="2:19" s="69" customFormat="1" ht="15.75">
      <c r="B3" s="70" t="s">
        <v>91</v>
      </c>
      <c r="C3" s="71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4"/>
      <c r="S3" s="75"/>
    </row>
    <row r="4" spans="2:19" s="76" customFormat="1" ht="15.75">
      <c r="B4" s="77" t="s">
        <v>149</v>
      </c>
      <c r="C4" s="78"/>
      <c r="D4" s="78"/>
      <c r="E4" s="78"/>
      <c r="F4" s="78"/>
      <c r="G4" s="78"/>
      <c r="H4" s="78">
        <v>61146.88</v>
      </c>
      <c r="I4" s="78">
        <v>61513.74</v>
      </c>
      <c r="J4" s="78">
        <v>60675.56</v>
      </c>
      <c r="K4" s="78">
        <v>60798.24</v>
      </c>
      <c r="L4" s="78">
        <v>61148.24</v>
      </c>
      <c r="M4" s="78">
        <v>61148.24</v>
      </c>
      <c r="N4" s="78">
        <v>61148.24</v>
      </c>
      <c r="O4" s="78">
        <f>61124.76-365.5</f>
        <v>60759.26</v>
      </c>
      <c r="P4" s="79">
        <f>SUM(D4:O4)</f>
        <v>488338.39999999997</v>
      </c>
      <c r="Q4" s="79">
        <v>374917.29</v>
      </c>
      <c r="R4" s="78">
        <f>C4+P4-Q4</f>
        <v>113421.10999999999</v>
      </c>
      <c r="S4" s="80"/>
    </row>
    <row r="5" spans="2:19" s="76" customFormat="1" ht="15.75">
      <c r="B5" s="77" t="s">
        <v>92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79"/>
      <c r="O5" s="79"/>
      <c r="P5" s="79">
        <f aca="true" t="shared" si="0" ref="P5:P37">SUM(D5:O5)</f>
        <v>0</v>
      </c>
      <c r="Q5" s="79"/>
      <c r="R5" s="78">
        <f aca="true" t="shared" si="1" ref="R5:R37">C5+P5-Q5</f>
        <v>0</v>
      </c>
      <c r="S5" s="80"/>
    </row>
    <row r="6" spans="2:19" s="76" customFormat="1" ht="15.75">
      <c r="B6" s="77" t="s">
        <v>209</v>
      </c>
      <c r="C6" s="78"/>
      <c r="D6" s="78"/>
      <c r="E6" s="78"/>
      <c r="F6" s="78"/>
      <c r="G6" s="78"/>
      <c r="H6" s="78">
        <v>10024.08</v>
      </c>
      <c r="I6" s="78">
        <v>10039.99</v>
      </c>
      <c r="J6" s="78">
        <v>10010.52</v>
      </c>
      <c r="K6" s="78">
        <v>10024.3</v>
      </c>
      <c r="L6" s="78">
        <v>10024.3</v>
      </c>
      <c r="M6" s="78">
        <v>10024.3</v>
      </c>
      <c r="N6" s="78">
        <v>10024.3</v>
      </c>
      <c r="O6" s="78">
        <f>10024.3-15.69</f>
        <v>10008.609999999999</v>
      </c>
      <c r="P6" s="79">
        <f t="shared" si="0"/>
        <v>80180.40000000001</v>
      </c>
      <c r="Q6" s="79">
        <v>61864.37</v>
      </c>
      <c r="R6" s="78">
        <f t="shared" si="1"/>
        <v>18316.030000000006</v>
      </c>
      <c r="S6" s="80"/>
    </row>
    <row r="7" spans="2:19" s="76" customFormat="1" ht="15.75">
      <c r="B7" s="77" t="s">
        <v>93</v>
      </c>
      <c r="C7" s="78"/>
      <c r="D7" s="78"/>
      <c r="E7" s="78"/>
      <c r="F7" s="78"/>
      <c r="G7" s="78"/>
      <c r="H7" s="78">
        <v>18500.16</v>
      </c>
      <c r="I7" s="78">
        <v>18500.64</v>
      </c>
      <c r="J7" s="78">
        <v>18346.25</v>
      </c>
      <c r="K7" s="78">
        <v>18500.64</v>
      </c>
      <c r="L7" s="78">
        <v>18500.64</v>
      </c>
      <c r="M7" s="78">
        <v>18500.64</v>
      </c>
      <c r="N7" s="78">
        <v>18500.64</v>
      </c>
      <c r="O7" s="78">
        <v>18500.64</v>
      </c>
      <c r="P7" s="79">
        <f t="shared" si="0"/>
        <v>147850.25</v>
      </c>
      <c r="Q7" s="79">
        <v>118689.02</v>
      </c>
      <c r="R7" s="78">
        <f t="shared" si="1"/>
        <v>29161.229999999996</v>
      </c>
      <c r="S7" s="80"/>
    </row>
    <row r="8" spans="2:19" s="76" customFormat="1" ht="15.75">
      <c r="B8" s="77" t="s">
        <v>95</v>
      </c>
      <c r="C8" s="78"/>
      <c r="D8" s="78"/>
      <c r="E8" s="78"/>
      <c r="F8" s="78"/>
      <c r="G8" s="78"/>
      <c r="H8" s="78">
        <v>4806</v>
      </c>
      <c r="I8" s="78">
        <v>4649.25</v>
      </c>
      <c r="J8" s="78">
        <v>4656.94</v>
      </c>
      <c r="K8" s="78">
        <v>4713.5</v>
      </c>
      <c r="L8" s="78">
        <v>4713.5</v>
      </c>
      <c r="M8" s="78">
        <v>4221.5</v>
      </c>
      <c r="N8" s="78">
        <v>4344.5</v>
      </c>
      <c r="O8" s="78">
        <f>4518.56+156.75</f>
        <v>4675.31</v>
      </c>
      <c r="P8" s="79">
        <f t="shared" si="0"/>
        <v>36780.5</v>
      </c>
      <c r="Q8" s="79">
        <v>27733.57</v>
      </c>
      <c r="R8" s="78">
        <f t="shared" si="1"/>
        <v>9046.93</v>
      </c>
      <c r="S8" s="80"/>
    </row>
    <row r="9" spans="2:19" s="76" customFormat="1" ht="15.75">
      <c r="B9" s="77" t="s">
        <v>195</v>
      </c>
      <c r="C9" s="78"/>
      <c r="D9" s="78"/>
      <c r="E9" s="78"/>
      <c r="F9" s="78"/>
      <c r="G9" s="78"/>
      <c r="H9" s="78">
        <v>273.35</v>
      </c>
      <c r="I9" s="78">
        <v>244.04</v>
      </c>
      <c r="J9" s="78">
        <v>243.6</v>
      </c>
      <c r="K9" s="78">
        <v>273.36</v>
      </c>
      <c r="L9" s="78">
        <v>273.36</v>
      </c>
      <c r="M9" s="78">
        <v>273.36</v>
      </c>
      <c r="N9" s="78">
        <v>273.36</v>
      </c>
      <c r="O9" s="78">
        <v>273.36</v>
      </c>
      <c r="P9" s="79">
        <f t="shared" si="0"/>
        <v>2127.7900000000004</v>
      </c>
      <c r="Q9" s="79">
        <v>1640.27</v>
      </c>
      <c r="R9" s="78">
        <f t="shared" si="1"/>
        <v>487.52000000000044</v>
      </c>
      <c r="S9" s="80"/>
    </row>
    <row r="10" spans="2:19" s="76" customFormat="1" ht="15.75">
      <c r="B10" s="77" t="s">
        <v>196</v>
      </c>
      <c r="C10" s="78"/>
      <c r="D10" s="78"/>
      <c r="E10" s="78"/>
      <c r="F10" s="78"/>
      <c r="G10" s="78"/>
      <c r="H10" s="78">
        <v>820.16</v>
      </c>
      <c r="I10" s="78">
        <v>1218.08</v>
      </c>
      <c r="J10" s="78">
        <v>-1268.06</v>
      </c>
      <c r="K10" s="78">
        <v>774.73</v>
      </c>
      <c r="L10" s="78">
        <v>774.73</v>
      </c>
      <c r="M10" s="78">
        <v>774.73</v>
      </c>
      <c r="N10" s="78">
        <v>774.73</v>
      </c>
      <c r="O10" s="78">
        <v>774.73</v>
      </c>
      <c r="P10" s="79">
        <f t="shared" si="0"/>
        <v>4643.83</v>
      </c>
      <c r="Q10" s="79">
        <v>3833.08</v>
      </c>
      <c r="R10" s="78">
        <f t="shared" si="1"/>
        <v>810.75</v>
      </c>
      <c r="S10" s="80"/>
    </row>
    <row r="11" spans="2:19" s="76" customFormat="1" ht="15.75">
      <c r="B11" s="77" t="s">
        <v>197</v>
      </c>
      <c r="C11" s="78"/>
      <c r="D11" s="78"/>
      <c r="E11" s="78"/>
      <c r="F11" s="78"/>
      <c r="G11" s="78"/>
      <c r="H11" s="78">
        <v>7016.89</v>
      </c>
      <c r="I11" s="78">
        <v>10120.1</v>
      </c>
      <c r="J11" s="78">
        <v>10063.46</v>
      </c>
      <c r="K11" s="78">
        <v>10252.42</v>
      </c>
      <c r="L11" s="78">
        <v>10252.42</v>
      </c>
      <c r="M11" s="78">
        <v>-12849.33</v>
      </c>
      <c r="N11" s="78">
        <v>6424.75</v>
      </c>
      <c r="O11" s="78">
        <f>-1366.95+314.41</f>
        <v>-1052.54</v>
      </c>
      <c r="P11" s="79">
        <f t="shared" si="0"/>
        <v>40228.17</v>
      </c>
      <c r="Q11" s="79">
        <v>41234.21</v>
      </c>
      <c r="R11" s="78">
        <f t="shared" si="1"/>
        <v>-1006.0400000000009</v>
      </c>
      <c r="S11" s="80"/>
    </row>
    <row r="12" spans="2:19" s="76" customFormat="1" ht="15.75">
      <c r="B12" s="77" t="s">
        <v>198</v>
      </c>
      <c r="C12" s="78"/>
      <c r="D12" s="78"/>
      <c r="E12" s="78"/>
      <c r="F12" s="78"/>
      <c r="G12" s="78"/>
      <c r="H12" s="78"/>
      <c r="I12" s="78">
        <f>379.24+5.97</f>
        <v>385.21000000000004</v>
      </c>
      <c r="J12" s="78">
        <v>385.21</v>
      </c>
      <c r="K12" s="78">
        <v>385.21</v>
      </c>
      <c r="L12" s="78">
        <v>385.21</v>
      </c>
      <c r="M12" s="78">
        <v>385.21</v>
      </c>
      <c r="N12" s="78">
        <v>385.21</v>
      </c>
      <c r="O12" s="78">
        <v>385.21</v>
      </c>
      <c r="P12" s="79">
        <f t="shared" si="0"/>
        <v>2696.4700000000003</v>
      </c>
      <c r="Q12" s="79">
        <v>1884.51</v>
      </c>
      <c r="R12" s="78">
        <f t="shared" si="1"/>
        <v>811.9600000000003</v>
      </c>
      <c r="S12" s="80"/>
    </row>
    <row r="13" spans="2:19" s="76" customFormat="1" ht="15.75">
      <c r="B13" s="77" t="s">
        <v>201</v>
      </c>
      <c r="C13" s="78"/>
      <c r="D13" s="78"/>
      <c r="E13" s="78"/>
      <c r="F13" s="78"/>
      <c r="G13" s="78"/>
      <c r="H13" s="78">
        <v>4815.2</v>
      </c>
      <c r="I13" s="78">
        <v>4815.3</v>
      </c>
      <c r="J13" s="78">
        <v>4815.3</v>
      </c>
      <c r="K13" s="78">
        <v>4815.3</v>
      </c>
      <c r="L13" s="78">
        <v>4815.3</v>
      </c>
      <c r="M13" s="78">
        <v>4815.3</v>
      </c>
      <c r="N13" s="78">
        <v>4815.3</v>
      </c>
      <c r="O13" s="78">
        <v>4815.3</v>
      </c>
      <c r="P13" s="79">
        <f t="shared" si="0"/>
        <v>38522.3</v>
      </c>
      <c r="Q13" s="79">
        <v>27297.32</v>
      </c>
      <c r="R13" s="78">
        <f t="shared" si="1"/>
        <v>11224.980000000003</v>
      </c>
      <c r="S13" s="80"/>
    </row>
    <row r="14" spans="2:21" s="76" customFormat="1" ht="15.75">
      <c r="B14" s="77" t="s">
        <v>96</v>
      </c>
      <c r="C14" s="78"/>
      <c r="D14" s="78"/>
      <c r="E14" s="78"/>
      <c r="F14" s="78"/>
      <c r="G14" s="78"/>
      <c r="H14" s="78">
        <v>600</v>
      </c>
      <c r="I14" s="78">
        <v>600</v>
      </c>
      <c r="J14" s="78">
        <v>600</v>
      </c>
      <c r="K14" s="78">
        <f>600+250</f>
        <v>850</v>
      </c>
      <c r="L14" s="78">
        <f>600+250</f>
        <v>850</v>
      </c>
      <c r="M14" s="78">
        <v>6066</v>
      </c>
      <c r="N14" s="78">
        <v>6066</v>
      </c>
      <c r="O14" s="78">
        <v>6068</v>
      </c>
      <c r="P14" s="79">
        <f t="shared" si="0"/>
        <v>21700</v>
      </c>
      <c r="Q14" s="78">
        <v>6200</v>
      </c>
      <c r="R14" s="78">
        <f t="shared" si="1"/>
        <v>15500</v>
      </c>
      <c r="S14" s="80"/>
      <c r="U14" s="80"/>
    </row>
    <row r="15" spans="2:21" s="76" customFormat="1" ht="15.75">
      <c r="B15" s="77" t="s">
        <v>161</v>
      </c>
      <c r="C15" s="78"/>
      <c r="D15" s="78"/>
      <c r="E15" s="78"/>
      <c r="F15" s="78"/>
      <c r="G15" s="78"/>
      <c r="H15" s="78">
        <v>10000</v>
      </c>
      <c r="I15" s="78">
        <v>10000</v>
      </c>
      <c r="J15" s="78">
        <v>10000</v>
      </c>
      <c r="K15" s="78">
        <v>10000</v>
      </c>
      <c r="L15" s="78">
        <v>10000</v>
      </c>
      <c r="M15" s="78">
        <v>10000</v>
      </c>
      <c r="N15" s="78">
        <v>10000</v>
      </c>
      <c r="O15" s="78">
        <v>10000</v>
      </c>
      <c r="P15" s="79">
        <f t="shared" si="0"/>
        <v>80000</v>
      </c>
      <c r="Q15" s="78"/>
      <c r="R15" s="78">
        <f t="shared" si="1"/>
        <v>80000</v>
      </c>
      <c r="S15" s="80"/>
      <c r="U15" s="80"/>
    </row>
    <row r="16" spans="2:21" s="76" customFormat="1" ht="15.75">
      <c r="B16" s="192">
        <v>0.15</v>
      </c>
      <c r="C16" s="78"/>
      <c r="D16" s="78">
        <f>-(D14+D15)*15%</f>
        <v>0</v>
      </c>
      <c r="E16" s="78">
        <f>-(E14+E15)*15%</f>
        <v>0</v>
      </c>
      <c r="F16" s="78">
        <f>-(F14+F15)*15%</f>
        <v>0</v>
      </c>
      <c r="G16" s="78">
        <f aca="true" t="shared" si="2" ref="G16:N16">-(G14+G15)*15%</f>
        <v>0</v>
      </c>
      <c r="H16" s="78">
        <f t="shared" si="2"/>
        <v>-1590</v>
      </c>
      <c r="I16" s="78">
        <f t="shared" si="2"/>
        <v>-1590</v>
      </c>
      <c r="J16" s="78">
        <f t="shared" si="2"/>
        <v>-1590</v>
      </c>
      <c r="K16" s="78">
        <f t="shared" si="2"/>
        <v>-1627.5</v>
      </c>
      <c r="L16" s="78">
        <f t="shared" si="2"/>
        <v>-1627.5</v>
      </c>
      <c r="M16" s="78">
        <f t="shared" si="2"/>
        <v>-2409.9</v>
      </c>
      <c r="N16" s="78">
        <f t="shared" si="2"/>
        <v>-2409.9</v>
      </c>
      <c r="O16" s="78">
        <f>-(O14+O15)*15%</f>
        <v>-2410.2</v>
      </c>
      <c r="P16" s="79">
        <f t="shared" si="0"/>
        <v>-15255</v>
      </c>
      <c r="Q16" s="78"/>
      <c r="R16" s="78">
        <f t="shared" si="1"/>
        <v>-15255</v>
      </c>
      <c r="S16" s="80"/>
      <c r="U16" s="80"/>
    </row>
    <row r="17" spans="2:19" s="81" customFormat="1" ht="15.75">
      <c r="B17" s="191" t="s">
        <v>97</v>
      </c>
      <c r="C17" s="83">
        <f>SUM(C4:C16)</f>
        <v>0</v>
      </c>
      <c r="D17" s="83">
        <f aca="true" t="shared" si="3" ref="D17:Q17">SUM(D4:D16)</f>
        <v>0</v>
      </c>
      <c r="E17" s="83">
        <f t="shared" si="3"/>
        <v>0</v>
      </c>
      <c r="F17" s="83">
        <f t="shared" si="3"/>
        <v>0</v>
      </c>
      <c r="G17" s="83">
        <f t="shared" si="3"/>
        <v>0</v>
      </c>
      <c r="H17" s="83">
        <f t="shared" si="3"/>
        <v>116412.72</v>
      </c>
      <c r="I17" s="83">
        <f t="shared" si="3"/>
        <v>120496.35</v>
      </c>
      <c r="J17" s="83">
        <f t="shared" si="3"/>
        <v>116938.78000000003</v>
      </c>
      <c r="K17" s="83">
        <f t="shared" si="3"/>
        <v>119760.2</v>
      </c>
      <c r="L17" s="83">
        <f t="shared" si="3"/>
        <v>120110.2</v>
      </c>
      <c r="M17" s="83">
        <f t="shared" si="3"/>
        <v>100950.05</v>
      </c>
      <c r="N17" s="83">
        <f t="shared" si="3"/>
        <v>120347.13</v>
      </c>
      <c r="O17" s="83">
        <f t="shared" si="3"/>
        <v>112797.68000000001</v>
      </c>
      <c r="P17" s="83">
        <f t="shared" si="3"/>
        <v>927813.11</v>
      </c>
      <c r="Q17" s="83">
        <f t="shared" si="3"/>
        <v>665293.6399999998</v>
      </c>
      <c r="R17" s="83">
        <f t="shared" si="1"/>
        <v>262519.4700000002</v>
      </c>
      <c r="S17" s="84"/>
    </row>
    <row r="18" spans="2:19" s="76" customFormat="1" ht="15.75">
      <c r="B18" s="82"/>
      <c r="C18" s="78"/>
      <c r="D18" s="78"/>
      <c r="E18" s="78"/>
      <c r="F18" s="78"/>
      <c r="G18" s="78"/>
      <c r="H18" s="78"/>
      <c r="I18" s="78"/>
      <c r="J18" s="79"/>
      <c r="K18" s="79"/>
      <c r="L18" s="79"/>
      <c r="M18" s="79"/>
      <c r="N18" s="79"/>
      <c r="O18" s="79"/>
      <c r="P18" s="79"/>
      <c r="Q18" s="79"/>
      <c r="R18" s="78"/>
      <c r="S18" s="80"/>
    </row>
    <row r="19" spans="2:21" s="76" customFormat="1" ht="15.75">
      <c r="B19" s="197" t="s">
        <v>101</v>
      </c>
      <c r="C19" s="198"/>
      <c r="D19" s="89"/>
      <c r="E19" s="89"/>
      <c r="F19" s="89"/>
      <c r="G19" s="89"/>
      <c r="H19" s="89"/>
      <c r="I19" s="89"/>
      <c r="J19" s="90"/>
      <c r="K19" s="90"/>
      <c r="L19" s="90"/>
      <c r="M19" s="90"/>
      <c r="N19" s="90"/>
      <c r="O19" s="90"/>
      <c r="P19" s="79"/>
      <c r="Q19" s="90"/>
      <c r="R19" s="78"/>
      <c r="S19" s="91"/>
      <c r="T19" s="92">
        <f>Q19/2895.2/12</f>
        <v>0</v>
      </c>
      <c r="U19" s="92">
        <f>24.93-23.25</f>
        <v>1.6799999999999997</v>
      </c>
    </row>
    <row r="20" spans="2:19" s="76" customFormat="1" ht="15.75">
      <c r="B20" s="77" t="s">
        <v>58</v>
      </c>
      <c r="C20" s="78"/>
      <c r="D20" s="78"/>
      <c r="E20" s="78"/>
      <c r="F20" s="78"/>
      <c r="G20" s="78"/>
      <c r="H20" s="78">
        <v>9771.61</v>
      </c>
      <c r="I20" s="78">
        <v>12266.02</v>
      </c>
      <c r="J20" s="79">
        <v>11106.1</v>
      </c>
      <c r="K20" s="79">
        <v>4417.28</v>
      </c>
      <c r="L20" s="79">
        <v>12434.4</v>
      </c>
      <c r="M20" s="79">
        <v>9550.62</v>
      </c>
      <c r="N20" s="79">
        <v>8390.24</v>
      </c>
      <c r="O20" s="79">
        <f>9683.66-1.42</f>
        <v>9682.24</v>
      </c>
      <c r="P20" s="79">
        <f t="shared" si="0"/>
        <v>77618.51000000001</v>
      </c>
      <c r="Q20" s="79">
        <v>55666.1</v>
      </c>
      <c r="R20" s="78">
        <f t="shared" si="1"/>
        <v>21952.41000000001</v>
      </c>
      <c r="S20" s="80"/>
    </row>
    <row r="21" spans="2:19" s="76" customFormat="1" ht="15.75">
      <c r="B21" s="77" t="s">
        <v>102</v>
      </c>
      <c r="C21" s="78"/>
      <c r="D21" s="78"/>
      <c r="E21" s="78"/>
      <c r="F21" s="78"/>
      <c r="G21" s="78"/>
      <c r="H21" s="78"/>
      <c r="I21" s="78"/>
      <c r="J21" s="79">
        <v>-1.42</v>
      </c>
      <c r="K21" s="79"/>
      <c r="L21" s="79"/>
      <c r="M21" s="79"/>
      <c r="N21" s="79"/>
      <c r="O21" s="79"/>
      <c r="P21" s="79"/>
      <c r="Q21" s="79"/>
      <c r="R21" s="78">
        <f t="shared" si="1"/>
        <v>0</v>
      </c>
      <c r="S21" s="80"/>
    </row>
    <row r="22" spans="2:19" s="76" customFormat="1" ht="15.75">
      <c r="B22" s="77" t="s">
        <v>59</v>
      </c>
      <c r="C22" s="78"/>
      <c r="D22" s="78"/>
      <c r="E22" s="78"/>
      <c r="F22" s="78"/>
      <c r="G22" s="78"/>
      <c r="H22" s="78">
        <v>11137.68</v>
      </c>
      <c r="I22" s="78">
        <v>13842.86</v>
      </c>
      <c r="J22" s="79">
        <v>17203.63</v>
      </c>
      <c r="K22" s="79">
        <v>674.58</v>
      </c>
      <c r="L22" s="79">
        <v>13477.64</v>
      </c>
      <c r="M22" s="79">
        <v>11579.5</v>
      </c>
      <c r="N22" s="79">
        <v>10923.54</v>
      </c>
      <c r="O22" s="79">
        <v>12021.01</v>
      </c>
      <c r="P22" s="79">
        <f t="shared" si="0"/>
        <v>90860.43999999999</v>
      </c>
      <c r="Q22" s="79">
        <v>62838.8</v>
      </c>
      <c r="R22" s="78">
        <f t="shared" si="1"/>
        <v>28021.639999999985</v>
      </c>
      <c r="S22" s="80"/>
    </row>
    <row r="23" spans="2:19" s="76" customFormat="1" ht="15.75">
      <c r="B23" s="77" t="s">
        <v>103</v>
      </c>
      <c r="C23" s="78"/>
      <c r="D23" s="78"/>
      <c r="E23" s="78"/>
      <c r="F23" s="78"/>
      <c r="G23" s="78"/>
      <c r="H23" s="78"/>
      <c r="I23" s="78"/>
      <c r="J23" s="79"/>
      <c r="K23" s="79"/>
      <c r="L23" s="79"/>
      <c r="M23" s="79"/>
      <c r="N23" s="79"/>
      <c r="O23" s="79"/>
      <c r="P23" s="79">
        <f t="shared" si="0"/>
        <v>0</v>
      </c>
      <c r="Q23" s="79"/>
      <c r="R23" s="78">
        <f t="shared" si="1"/>
        <v>0</v>
      </c>
      <c r="S23" s="80"/>
    </row>
    <row r="24" spans="2:19" s="76" customFormat="1" ht="15.75">
      <c r="B24" s="77" t="s">
        <v>55</v>
      </c>
      <c r="C24" s="78"/>
      <c r="D24" s="78"/>
      <c r="E24" s="78"/>
      <c r="F24" s="78"/>
      <c r="G24" s="78"/>
      <c r="H24" s="78">
        <v>199798.26</v>
      </c>
      <c r="I24" s="78">
        <v>-131574.36</v>
      </c>
      <c r="J24" s="79">
        <f>29994.12-66.21</f>
        <v>29927.91</v>
      </c>
      <c r="K24" s="79">
        <v>37079.14</v>
      </c>
      <c r="L24" s="79">
        <v>27322.96</v>
      </c>
      <c r="M24" s="79">
        <v>37704.05</v>
      </c>
      <c r="N24" s="79">
        <v>36541.54</v>
      </c>
      <c r="O24" s="79">
        <v>30774.53</v>
      </c>
      <c r="P24" s="79">
        <f t="shared" si="0"/>
        <v>267574.03</v>
      </c>
      <c r="Q24" s="79">
        <f>197097.36+427.21</f>
        <v>197524.56999999998</v>
      </c>
      <c r="R24" s="78">
        <f t="shared" si="1"/>
        <v>70049.46000000005</v>
      </c>
      <c r="S24" s="80"/>
    </row>
    <row r="25" spans="2:19" s="76" customFormat="1" ht="15.75">
      <c r="B25" s="77" t="s">
        <v>104</v>
      </c>
      <c r="C25" s="78"/>
      <c r="D25" s="78"/>
      <c r="E25" s="78"/>
      <c r="F25" s="78"/>
      <c r="G25" s="78"/>
      <c r="H25" s="78"/>
      <c r="I25" s="78"/>
      <c r="J25" s="79"/>
      <c r="K25" s="79"/>
      <c r="L25" s="79"/>
      <c r="M25" s="79"/>
      <c r="N25" s="79"/>
      <c r="O25" s="79"/>
      <c r="P25" s="79">
        <f t="shared" si="0"/>
        <v>0</v>
      </c>
      <c r="Q25" s="79"/>
      <c r="R25" s="78">
        <f t="shared" si="1"/>
        <v>0</v>
      </c>
      <c r="S25" s="80"/>
    </row>
    <row r="26" spans="2:19" s="76" customFormat="1" ht="15.75">
      <c r="B26" s="77" t="s">
        <v>105</v>
      </c>
      <c r="C26" s="78"/>
      <c r="D26" s="78"/>
      <c r="E26" s="78"/>
      <c r="F26" s="78"/>
      <c r="G26" s="78"/>
      <c r="H26" s="78">
        <v>20135.31</v>
      </c>
      <c r="I26" s="78">
        <v>241.49</v>
      </c>
      <c r="J26" s="78">
        <v>-2263.65</v>
      </c>
      <c r="K26" s="79">
        <v>350</v>
      </c>
      <c r="L26" s="79">
        <v>4892.25</v>
      </c>
      <c r="M26" s="79">
        <v>42559.29</v>
      </c>
      <c r="N26" s="79">
        <v>57260.19</v>
      </c>
      <c r="O26" s="79">
        <f>96322.56-241.49</f>
        <v>96081.06999999999</v>
      </c>
      <c r="P26" s="79">
        <f t="shared" si="0"/>
        <v>219255.95</v>
      </c>
      <c r="Q26" s="79">
        <v>103750.66</v>
      </c>
      <c r="R26" s="78">
        <f t="shared" si="1"/>
        <v>115505.29000000001</v>
      </c>
      <c r="S26" s="80"/>
    </row>
    <row r="27" spans="2:19" s="76" customFormat="1" ht="15.75">
      <c r="B27" s="77" t="s">
        <v>57</v>
      </c>
      <c r="C27" s="78"/>
      <c r="D27" s="78"/>
      <c r="E27" s="78"/>
      <c r="F27" s="78"/>
      <c r="G27" s="78"/>
      <c r="H27" s="78">
        <v>20623.71</v>
      </c>
      <c r="I27" s="78">
        <v>24106.34</v>
      </c>
      <c r="J27" s="79">
        <v>42791.59</v>
      </c>
      <c r="K27" s="79">
        <v>-8271.57</v>
      </c>
      <c r="L27" s="79">
        <v>22921.31</v>
      </c>
      <c r="M27" s="79">
        <v>23101.41</v>
      </c>
      <c r="N27" s="79">
        <v>23462.65</v>
      </c>
      <c r="O27" s="79">
        <f>24555.58-44.88</f>
        <v>24510.7</v>
      </c>
      <c r="P27" s="79">
        <f t="shared" si="0"/>
        <v>173246.14</v>
      </c>
      <c r="Q27" s="79">
        <v>112791.3</v>
      </c>
      <c r="R27" s="78">
        <f t="shared" si="1"/>
        <v>60454.84000000001</v>
      </c>
      <c r="S27" s="80"/>
    </row>
    <row r="28" spans="2:19" s="76" customFormat="1" ht="16.5" customHeight="1">
      <c r="B28" s="77" t="s">
        <v>106</v>
      </c>
      <c r="C28" s="78"/>
      <c r="D28" s="78"/>
      <c r="E28" s="78"/>
      <c r="F28" s="78"/>
      <c r="G28" s="78"/>
      <c r="H28" s="78"/>
      <c r="I28" s="78"/>
      <c r="J28" s="79">
        <v>-44.88</v>
      </c>
      <c r="K28" s="79"/>
      <c r="L28" s="79"/>
      <c r="M28" s="79"/>
      <c r="N28" s="79"/>
      <c r="O28" s="79"/>
      <c r="P28" s="79">
        <f t="shared" si="0"/>
        <v>-44.88</v>
      </c>
      <c r="Q28" s="79"/>
      <c r="R28" s="78">
        <f t="shared" si="1"/>
        <v>-44.88</v>
      </c>
      <c r="S28" s="80"/>
    </row>
    <row r="29" spans="2:23" s="76" customFormat="1" ht="15.75">
      <c r="B29" s="77" t="s">
        <v>107</v>
      </c>
      <c r="C29" s="78">
        <v>0</v>
      </c>
      <c r="D29" s="78">
        <f>D30+D31+D32+D33</f>
        <v>0</v>
      </c>
      <c r="E29" s="78">
        <f aca="true" t="shared" si="4" ref="E29:Q29">E30+E31+E32+E33</f>
        <v>0</v>
      </c>
      <c r="F29" s="78">
        <f t="shared" si="4"/>
        <v>0</v>
      </c>
      <c r="G29" s="78">
        <f t="shared" si="4"/>
        <v>0</v>
      </c>
      <c r="H29" s="78">
        <f t="shared" si="4"/>
        <v>0</v>
      </c>
      <c r="I29" s="78">
        <f t="shared" si="4"/>
        <v>0</v>
      </c>
      <c r="J29" s="78">
        <f t="shared" si="4"/>
        <v>0</v>
      </c>
      <c r="K29" s="78">
        <f t="shared" si="4"/>
        <v>0</v>
      </c>
      <c r="L29" s="78">
        <f t="shared" si="4"/>
        <v>0</v>
      </c>
      <c r="M29" s="78">
        <f t="shared" si="4"/>
        <v>0</v>
      </c>
      <c r="N29" s="78">
        <f t="shared" si="4"/>
        <v>0</v>
      </c>
      <c r="O29" s="78">
        <f t="shared" si="4"/>
        <v>0</v>
      </c>
      <c r="P29" s="79">
        <f t="shared" si="0"/>
        <v>0</v>
      </c>
      <c r="Q29" s="78">
        <f t="shared" si="4"/>
        <v>0</v>
      </c>
      <c r="R29" s="78">
        <f t="shared" si="1"/>
        <v>0</v>
      </c>
      <c r="S29" s="80"/>
      <c r="T29" s="80">
        <f>C30+C31+C32+C33</f>
        <v>0</v>
      </c>
      <c r="U29" s="76" t="s">
        <v>94</v>
      </c>
      <c r="W29" s="76" t="s">
        <v>94</v>
      </c>
    </row>
    <row r="30" spans="2:19" s="93" customFormat="1" ht="15.75">
      <c r="B30" s="85" t="s">
        <v>108</v>
      </c>
      <c r="C30" s="94">
        <v>0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87">
        <f t="shared" si="0"/>
        <v>0</v>
      </c>
      <c r="Q30" s="94"/>
      <c r="R30" s="94">
        <f t="shared" si="1"/>
        <v>0</v>
      </c>
      <c r="S30" s="95"/>
    </row>
    <row r="31" spans="2:19" s="93" customFormat="1" ht="15.75">
      <c r="B31" s="85" t="s">
        <v>109</v>
      </c>
      <c r="C31" s="94">
        <v>0</v>
      </c>
      <c r="D31" s="94"/>
      <c r="E31" s="94"/>
      <c r="F31" s="94"/>
      <c r="G31" s="94"/>
      <c r="H31" s="94"/>
      <c r="I31" s="94"/>
      <c r="J31" s="87"/>
      <c r="K31" s="87"/>
      <c r="L31" s="87"/>
      <c r="M31" s="87"/>
      <c r="N31" s="87"/>
      <c r="O31" s="87"/>
      <c r="P31" s="87">
        <f t="shared" si="0"/>
        <v>0</v>
      </c>
      <c r="Q31" s="94"/>
      <c r="R31" s="94">
        <f t="shared" si="1"/>
        <v>0</v>
      </c>
      <c r="S31" s="95"/>
    </row>
    <row r="32" spans="2:19" s="93" customFormat="1" ht="15.75">
      <c r="B32" s="85" t="s">
        <v>110</v>
      </c>
      <c r="C32" s="94">
        <v>0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87">
        <f t="shared" si="0"/>
        <v>0</v>
      </c>
      <c r="Q32" s="94"/>
      <c r="R32" s="94">
        <f t="shared" si="1"/>
        <v>0</v>
      </c>
      <c r="S32" s="95"/>
    </row>
    <row r="33" spans="2:19" s="93" customFormat="1" ht="15.75">
      <c r="B33" s="85" t="s">
        <v>59</v>
      </c>
      <c r="C33" s="94">
        <v>0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87">
        <f t="shared" si="0"/>
        <v>0</v>
      </c>
      <c r="Q33" s="94"/>
      <c r="R33" s="94">
        <f t="shared" si="1"/>
        <v>0</v>
      </c>
      <c r="S33" s="95"/>
    </row>
    <row r="34" spans="2:19" s="93" customFormat="1" ht="15.75">
      <c r="B34" s="85" t="s">
        <v>96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>
        <f>O35</f>
        <v>0</v>
      </c>
      <c r="P34" s="79">
        <f t="shared" si="0"/>
        <v>0</v>
      </c>
      <c r="Q34" s="94"/>
      <c r="R34" s="94">
        <f t="shared" si="1"/>
        <v>0</v>
      </c>
      <c r="S34" s="95"/>
    </row>
    <row r="35" spans="2:19" s="93" customFormat="1" ht="15.75">
      <c r="B35" s="85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79">
        <f t="shared" si="0"/>
        <v>0</v>
      </c>
      <c r="Q35" s="94"/>
      <c r="R35" s="94">
        <f t="shared" si="1"/>
        <v>0</v>
      </c>
      <c r="S35" s="95"/>
    </row>
    <row r="36" spans="2:19" s="81" customFormat="1" ht="15.75">
      <c r="B36" s="82" t="s">
        <v>111</v>
      </c>
      <c r="C36" s="83">
        <f>C20+C22+C24+C26+C27+C28+C29+C23+C25+C21+C34</f>
        <v>0</v>
      </c>
      <c r="D36" s="83">
        <f>D20+D22+D24+D26+D27+D28+D29+D23+D25+D21+D34</f>
        <v>0</v>
      </c>
      <c r="E36" s="83">
        <f aca="true" t="shared" si="5" ref="E36:O36">E20+E22+E24+E26+E27+E28+E29+E23+E25+E21+E34</f>
        <v>0</v>
      </c>
      <c r="F36" s="83">
        <f t="shared" si="5"/>
        <v>0</v>
      </c>
      <c r="G36" s="83">
        <f t="shared" si="5"/>
        <v>0</v>
      </c>
      <c r="H36" s="83">
        <f t="shared" si="5"/>
        <v>261466.57</v>
      </c>
      <c r="I36" s="83">
        <f t="shared" si="5"/>
        <v>-81117.64999999998</v>
      </c>
      <c r="J36" s="83">
        <f t="shared" si="5"/>
        <v>98719.27999999998</v>
      </c>
      <c r="K36" s="83">
        <f t="shared" si="5"/>
        <v>34249.43</v>
      </c>
      <c r="L36" s="83">
        <f t="shared" si="5"/>
        <v>81048.56</v>
      </c>
      <c r="M36" s="83">
        <f t="shared" si="5"/>
        <v>124494.87000000001</v>
      </c>
      <c r="N36" s="83">
        <f t="shared" si="5"/>
        <v>136578.16</v>
      </c>
      <c r="O36" s="83">
        <f t="shared" si="5"/>
        <v>173069.55</v>
      </c>
      <c r="P36" s="86">
        <f t="shared" si="0"/>
        <v>828508.77</v>
      </c>
      <c r="Q36" s="83">
        <f>SUM(Q20:Q35)</f>
        <v>532571.43</v>
      </c>
      <c r="R36" s="83">
        <f t="shared" si="1"/>
        <v>295937.33999999997</v>
      </c>
      <c r="S36" s="84"/>
    </row>
    <row r="37" spans="2:19" s="81" customFormat="1" ht="15.75">
      <c r="B37" s="82" t="s">
        <v>112</v>
      </c>
      <c r="C37" s="83">
        <f aca="true" t="shared" si="6" ref="C37:O37">C36+C17</f>
        <v>0</v>
      </c>
      <c r="D37" s="83">
        <f t="shared" si="6"/>
        <v>0</v>
      </c>
      <c r="E37" s="83">
        <f t="shared" si="6"/>
        <v>0</v>
      </c>
      <c r="F37" s="83">
        <f t="shared" si="6"/>
        <v>0</v>
      </c>
      <c r="G37" s="83">
        <f t="shared" si="6"/>
        <v>0</v>
      </c>
      <c r="H37" s="83">
        <f t="shared" si="6"/>
        <v>377879.29000000004</v>
      </c>
      <c r="I37" s="83">
        <f t="shared" si="6"/>
        <v>39378.700000000026</v>
      </c>
      <c r="J37" s="83">
        <f t="shared" si="6"/>
        <v>215658.06</v>
      </c>
      <c r="K37" s="83">
        <f t="shared" si="6"/>
        <v>154009.63</v>
      </c>
      <c r="L37" s="83">
        <f t="shared" si="6"/>
        <v>201158.76</v>
      </c>
      <c r="M37" s="83">
        <f t="shared" si="6"/>
        <v>225444.92</v>
      </c>
      <c r="N37" s="83">
        <f t="shared" si="6"/>
        <v>256925.29</v>
      </c>
      <c r="O37" s="83">
        <f t="shared" si="6"/>
        <v>285867.23</v>
      </c>
      <c r="P37" s="86">
        <f t="shared" si="0"/>
        <v>1756321.8800000001</v>
      </c>
      <c r="Q37" s="83">
        <f>Q36+Q17</f>
        <v>1197865.0699999998</v>
      </c>
      <c r="R37" s="83">
        <f t="shared" si="1"/>
        <v>558456.8100000003</v>
      </c>
      <c r="S37" s="84"/>
    </row>
    <row r="38" spans="2:19" s="81" customFormat="1" ht="1.5" customHeight="1">
      <c r="B38" s="85" t="s">
        <v>98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 t="e">
        <f>#REF!+#REF!</f>
        <v>#REF!</v>
      </c>
      <c r="R38" s="83"/>
      <c r="S38" s="84"/>
    </row>
    <row r="39" spans="2:19" s="81" customFormat="1" ht="15.75" hidden="1">
      <c r="B39" s="85" t="s">
        <v>99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 t="e">
        <f>#REF!</f>
        <v>#REF!</v>
      </c>
      <c r="R39" s="83"/>
      <c r="S39" s="84"/>
    </row>
    <row r="40" spans="2:19" s="81" customFormat="1" ht="15.75" hidden="1">
      <c r="B40" s="88" t="s">
        <v>100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 t="e">
        <f>#REF!+#REF!</f>
        <v>#REF!</v>
      </c>
      <c r="R40" s="96"/>
      <c r="S40" s="84"/>
    </row>
    <row r="41" spans="2:19" s="81" customFormat="1" ht="15.75"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 t="s">
        <v>94</v>
      </c>
      <c r="O41" s="98"/>
      <c r="P41" s="98"/>
      <c r="Q41" s="98"/>
      <c r="R41" s="98"/>
      <c r="S41" s="84"/>
    </row>
    <row r="42" spans="1:19" s="101" customFormat="1" ht="17.25" customHeight="1">
      <c r="A42" s="99"/>
      <c r="B42" s="200" t="s">
        <v>194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2"/>
      <c r="S42" s="100"/>
    </row>
    <row r="43" spans="1:19" s="101" customFormat="1" ht="17.25" customHeight="1">
      <c r="A43" s="102"/>
      <c r="B43" s="203" t="s">
        <v>91</v>
      </c>
      <c r="C43" s="203"/>
      <c r="D43" s="103"/>
      <c r="E43" s="103"/>
      <c r="F43" s="103"/>
      <c r="G43" s="103"/>
      <c r="H43" s="103"/>
      <c r="I43" s="103"/>
      <c r="J43" s="104"/>
      <c r="K43" s="104"/>
      <c r="L43" s="104"/>
      <c r="M43" s="104"/>
      <c r="N43" s="104"/>
      <c r="O43" s="104"/>
      <c r="P43" s="104"/>
      <c r="Q43" s="100"/>
      <c r="R43" s="105"/>
      <c r="S43" s="100"/>
    </row>
    <row r="44" spans="1:19" s="109" customFormat="1" ht="51.75">
      <c r="A44" s="106" t="s">
        <v>113</v>
      </c>
      <c r="B44" s="107" t="s">
        <v>114</v>
      </c>
      <c r="C44" s="66" t="s">
        <v>193</v>
      </c>
      <c r="D44" s="67" t="s">
        <v>76</v>
      </c>
      <c r="E44" s="67" t="s">
        <v>77</v>
      </c>
      <c r="F44" s="67" t="s">
        <v>78</v>
      </c>
      <c r="G44" s="67" t="s">
        <v>79</v>
      </c>
      <c r="H44" s="67" t="s">
        <v>80</v>
      </c>
      <c r="I44" s="67" t="s">
        <v>81</v>
      </c>
      <c r="J44" s="67" t="s">
        <v>82</v>
      </c>
      <c r="K44" s="67" t="s">
        <v>83</v>
      </c>
      <c r="L44" s="67" t="s">
        <v>84</v>
      </c>
      <c r="M44" s="67" t="s">
        <v>85</v>
      </c>
      <c r="N44" s="67" t="s">
        <v>86</v>
      </c>
      <c r="O44" s="67" t="s">
        <v>87</v>
      </c>
      <c r="P44" s="67" t="s">
        <v>88</v>
      </c>
      <c r="Q44" s="66" t="s">
        <v>89</v>
      </c>
      <c r="R44" s="66" t="s">
        <v>90</v>
      </c>
      <c r="S44" s="108"/>
    </row>
    <row r="45" spans="1:21" s="114" customFormat="1" ht="14.25">
      <c r="A45" s="110">
        <v>1</v>
      </c>
      <c r="B45" s="152" t="s">
        <v>139</v>
      </c>
      <c r="C45" s="112">
        <f>C46+C50+C51+C52+C53+C54+C55+C56+C61</f>
        <v>0</v>
      </c>
      <c r="D45" s="112">
        <f>D46+D50+D51+D52+D53+D54+D55+D56+D57+D58+D59+D60+D61</f>
        <v>0</v>
      </c>
      <c r="E45" s="112">
        <f aca="true" t="shared" si="7" ref="E45:Q45">E46+E50+E51+E52+E53+E54+E55+E56+E57+E58+E59+E60+E61</f>
        <v>0</v>
      </c>
      <c r="F45" s="112">
        <f t="shared" si="7"/>
        <v>0</v>
      </c>
      <c r="G45" s="112">
        <f t="shared" si="7"/>
        <v>0</v>
      </c>
      <c r="H45" s="112">
        <f t="shared" si="7"/>
        <v>54486.77</v>
      </c>
      <c r="I45" s="112">
        <f t="shared" si="7"/>
        <v>53499.82</v>
      </c>
      <c r="J45" s="112">
        <f t="shared" si="7"/>
        <v>50137.33000000001</v>
      </c>
      <c r="K45" s="112">
        <f t="shared" si="7"/>
        <v>51470.51</v>
      </c>
      <c r="L45" s="112">
        <f t="shared" si="7"/>
        <v>49770.44</v>
      </c>
      <c r="M45" s="112">
        <f t="shared" si="7"/>
        <v>51804.72</v>
      </c>
      <c r="N45" s="112">
        <f t="shared" si="7"/>
        <v>53393.34</v>
      </c>
      <c r="O45" s="112">
        <f t="shared" si="7"/>
        <v>57108.240000000005</v>
      </c>
      <c r="P45" s="112">
        <f>SUM(D45:O45)</f>
        <v>421671.17000000004</v>
      </c>
      <c r="Q45" s="112">
        <f t="shared" si="7"/>
        <v>449237.72</v>
      </c>
      <c r="R45" s="112">
        <f>R46+R50+R51+R52+R53+R54+R55+R56+R61</f>
        <v>79359.20999999999</v>
      </c>
      <c r="S45" s="113"/>
      <c r="T45" s="114" t="e">
        <f>#REF!/3</f>
        <v>#REF!</v>
      </c>
      <c r="U45" s="113" t="e">
        <f>#REF!+#REF!</f>
        <v>#REF!</v>
      </c>
    </row>
    <row r="46" spans="1:21" ht="31.5" customHeight="1">
      <c r="A46" s="122"/>
      <c r="B46" s="151" t="s">
        <v>133</v>
      </c>
      <c r="C46" s="165"/>
      <c r="D46" s="165">
        <f>D47+D48+D49</f>
        <v>0</v>
      </c>
      <c r="E46" s="165">
        <f aca="true" t="shared" si="8" ref="E46:Q46">E47+E48+E49</f>
        <v>0</v>
      </c>
      <c r="F46" s="165">
        <f t="shared" si="8"/>
        <v>0</v>
      </c>
      <c r="G46" s="165">
        <f t="shared" si="8"/>
        <v>0</v>
      </c>
      <c r="H46" s="165">
        <f t="shared" si="8"/>
        <v>15952.759999999998</v>
      </c>
      <c r="I46" s="165">
        <f t="shared" si="8"/>
        <v>15233.400000000001</v>
      </c>
      <c r="J46" s="165">
        <f t="shared" si="8"/>
        <v>13540.240000000002</v>
      </c>
      <c r="K46" s="165">
        <f t="shared" si="8"/>
        <v>15233.400000000001</v>
      </c>
      <c r="L46" s="165">
        <f t="shared" si="8"/>
        <v>15233.400000000001</v>
      </c>
      <c r="M46" s="165">
        <f t="shared" si="8"/>
        <v>15233.400000000001</v>
      </c>
      <c r="N46" s="165">
        <f t="shared" si="8"/>
        <v>17082.18</v>
      </c>
      <c r="O46" s="165">
        <f t="shared" si="8"/>
        <v>17812.620000000003</v>
      </c>
      <c r="P46" s="165">
        <f t="shared" si="8"/>
        <v>125321.4</v>
      </c>
      <c r="Q46" s="165">
        <f t="shared" si="8"/>
        <v>107508.78</v>
      </c>
      <c r="R46" s="154">
        <f>C46+P46-Q46</f>
        <v>17812.619999999995</v>
      </c>
      <c r="T46" s="114" t="e">
        <f>#REF!/3</f>
        <v>#REF!</v>
      </c>
      <c r="U46" s="126" t="e">
        <f>#REF!+#REF!</f>
        <v>#REF!</v>
      </c>
    </row>
    <row r="47" spans="1:20" s="121" customFormat="1" ht="15">
      <c r="A47" s="115"/>
      <c r="B47" s="150" t="s">
        <v>127</v>
      </c>
      <c r="C47" s="166"/>
      <c r="D47" s="166">
        <f>январь!E11</f>
        <v>0</v>
      </c>
      <c r="E47" s="166">
        <f>февраль!E11</f>
        <v>0</v>
      </c>
      <c r="F47" s="166">
        <f>март!E11</f>
        <v>0</v>
      </c>
      <c r="G47" s="166">
        <f>апрель!E11</f>
        <v>0</v>
      </c>
      <c r="H47" s="116">
        <f>май!E11</f>
        <v>12398.3</v>
      </c>
      <c r="I47" s="116">
        <f>июнь!E11</f>
        <v>11848.2</v>
      </c>
      <c r="J47" s="116">
        <f>июль!E11</f>
        <v>10155.04</v>
      </c>
      <c r="K47" s="117">
        <f>август!E11</f>
        <v>11848.2</v>
      </c>
      <c r="L47" s="117">
        <f>сентябрь!E11</f>
        <v>11848.2</v>
      </c>
      <c r="M47" s="117">
        <f>октябрь!E11</f>
        <v>11848.2</v>
      </c>
      <c r="N47" s="117">
        <f>ноябрь!E11</f>
        <v>13374.57</v>
      </c>
      <c r="O47" s="117">
        <f>декабрь!E11</f>
        <v>13782.61</v>
      </c>
      <c r="P47" s="118">
        <f aca="true" t="shared" si="9" ref="P47:P103">SUM(D47:O47)</f>
        <v>97103.31999999999</v>
      </c>
      <c r="Q47" s="119">
        <f>P47-O47</f>
        <v>83320.70999999999</v>
      </c>
      <c r="R47" s="154">
        <f aca="true" t="shared" si="10" ref="R47:R106">C47+P47-Q47</f>
        <v>13782.61</v>
      </c>
      <c r="S47" s="120"/>
      <c r="T47" s="114"/>
    </row>
    <row r="48" spans="1:20" s="121" customFormat="1" ht="15">
      <c r="A48" s="115"/>
      <c r="B48" s="150" t="s">
        <v>128</v>
      </c>
      <c r="C48" s="166"/>
      <c r="D48" s="166">
        <f>январь!E12</f>
        <v>0</v>
      </c>
      <c r="E48" s="166">
        <f>февраль!E12</f>
        <v>0</v>
      </c>
      <c r="F48" s="166">
        <f>март!E12</f>
        <v>0</v>
      </c>
      <c r="G48" s="166">
        <f>апрель!E12</f>
        <v>0</v>
      </c>
      <c r="H48" s="116">
        <f>май!E12</f>
        <v>3554.46</v>
      </c>
      <c r="I48" s="116">
        <f>июнь!E12</f>
        <v>3385.2</v>
      </c>
      <c r="J48" s="116">
        <f>июль!E12</f>
        <v>3385.2</v>
      </c>
      <c r="K48" s="117">
        <f>август!E12</f>
        <v>3385.2</v>
      </c>
      <c r="L48" s="117">
        <f>сентябрь!E12</f>
        <v>3385.2</v>
      </c>
      <c r="M48" s="117">
        <f>октябрь!E12</f>
        <v>3385.2</v>
      </c>
      <c r="N48" s="117">
        <f>ноябрь!E12</f>
        <v>3707.61</v>
      </c>
      <c r="O48" s="117">
        <f>декабрь!E12</f>
        <v>4030.01</v>
      </c>
      <c r="P48" s="118">
        <f t="shared" si="9"/>
        <v>28218.08</v>
      </c>
      <c r="Q48" s="119">
        <f>P48-O48</f>
        <v>24188.07</v>
      </c>
      <c r="R48" s="154">
        <f t="shared" si="10"/>
        <v>4030.010000000002</v>
      </c>
      <c r="S48" s="120"/>
      <c r="T48" s="114"/>
    </row>
    <row r="49" spans="1:20" s="121" customFormat="1" ht="15">
      <c r="A49" s="115"/>
      <c r="B49" s="150" t="s">
        <v>134</v>
      </c>
      <c r="C49" s="166"/>
      <c r="D49" s="166"/>
      <c r="E49" s="166"/>
      <c r="F49" s="166">
        <f>март!E13</f>
        <v>0</v>
      </c>
      <c r="G49" s="166">
        <f>апрель!E13</f>
        <v>0</v>
      </c>
      <c r="H49" s="116">
        <f>май!E13</f>
        <v>0</v>
      </c>
      <c r="I49" s="116">
        <f>июнь!E13</f>
        <v>0</v>
      </c>
      <c r="J49" s="116">
        <f>июль!E13</f>
        <v>0</v>
      </c>
      <c r="K49" s="117">
        <f>август!E13</f>
        <v>0</v>
      </c>
      <c r="L49" s="117">
        <f>сентябрь!E13</f>
        <v>0</v>
      </c>
      <c r="M49" s="117">
        <f>октябрь!E13</f>
        <v>0</v>
      </c>
      <c r="N49" s="117">
        <f>ноябрь!E13</f>
        <v>0</v>
      </c>
      <c r="O49" s="117">
        <f>декабрь!E13</f>
        <v>0</v>
      </c>
      <c r="P49" s="124">
        <f t="shared" si="9"/>
        <v>0</v>
      </c>
      <c r="Q49" s="119"/>
      <c r="R49" s="154">
        <f t="shared" si="10"/>
        <v>0</v>
      </c>
      <c r="S49" s="120"/>
      <c r="T49" s="114"/>
    </row>
    <row r="50" spans="1:20" ht="15">
      <c r="A50" s="122"/>
      <c r="B50" s="155" t="s">
        <v>129</v>
      </c>
      <c r="C50" s="165"/>
      <c r="D50" s="165">
        <f>январь!F27-Свод!D51</f>
        <v>0</v>
      </c>
      <c r="E50" s="165">
        <f>февраль!F27-Свод!E51</f>
        <v>0</v>
      </c>
      <c r="F50" s="165">
        <f>март!F27-F51</f>
        <v>0</v>
      </c>
      <c r="G50" s="165">
        <f>апрель!F27-Свод!G51</f>
        <v>0</v>
      </c>
      <c r="H50" s="124">
        <f>май!F27-Свод!H51</f>
        <v>440</v>
      </c>
      <c r="I50" s="124">
        <f>июнь!F27-Свод!I51</f>
        <v>379</v>
      </c>
      <c r="J50" s="125">
        <f>июль!F27-Свод!J51</f>
        <v>338</v>
      </c>
      <c r="K50" s="125">
        <f>август!F27-Свод!K51</f>
        <v>311.44</v>
      </c>
      <c r="L50" s="125">
        <f>сентябрь!F27-Свод!L51</f>
        <v>293</v>
      </c>
      <c r="M50" s="125">
        <f>октябрь!F27-Свод!M51</f>
        <v>885</v>
      </c>
      <c r="N50" s="125">
        <f>ноябрь!F27-Свод!N51</f>
        <v>367</v>
      </c>
      <c r="O50" s="125">
        <f>декабрь!F27-Свод!O51</f>
        <v>2563</v>
      </c>
      <c r="P50" s="124">
        <f t="shared" si="9"/>
        <v>5576.4400000000005</v>
      </c>
      <c r="Q50" s="125">
        <f>P50</f>
        <v>5576.4400000000005</v>
      </c>
      <c r="R50" s="154">
        <f t="shared" si="10"/>
        <v>0</v>
      </c>
      <c r="T50" s="114"/>
    </row>
    <row r="51" spans="1:20" ht="15">
      <c r="A51" s="122"/>
      <c r="B51" s="155" t="s">
        <v>130</v>
      </c>
      <c r="C51" s="165"/>
      <c r="D51" s="165">
        <f>январь!F14</f>
        <v>0</v>
      </c>
      <c r="E51" s="165">
        <f>февраль!F14</f>
        <v>0</v>
      </c>
      <c r="F51" s="165">
        <f>март!F14</f>
        <v>0</v>
      </c>
      <c r="G51" s="165">
        <f>апрель!G14</f>
        <v>0</v>
      </c>
      <c r="H51" s="124">
        <f>май!G14</f>
        <v>0</v>
      </c>
      <c r="I51" s="124">
        <f>июнь!G14</f>
        <v>205</v>
      </c>
      <c r="J51" s="125">
        <f>июль!G14</f>
        <v>160</v>
      </c>
      <c r="K51" s="125">
        <f>август!G14</f>
        <v>181</v>
      </c>
      <c r="L51" s="125">
        <f>сентябрь!G14</f>
        <v>164</v>
      </c>
      <c r="M51" s="125">
        <f>октябрь!G14</f>
        <v>166</v>
      </c>
      <c r="N51" s="125">
        <f>ноябрь!G14</f>
        <v>170</v>
      </c>
      <c r="O51" s="125">
        <f>декабрь!G14</f>
        <v>223</v>
      </c>
      <c r="P51" s="124">
        <f t="shared" si="9"/>
        <v>1269</v>
      </c>
      <c r="Q51" s="125">
        <f>P51</f>
        <v>1269</v>
      </c>
      <c r="R51" s="154">
        <f t="shared" si="10"/>
        <v>0</v>
      </c>
      <c r="T51" s="114"/>
    </row>
    <row r="52" spans="1:20" ht="15">
      <c r="A52" s="122"/>
      <c r="B52" s="157" t="s">
        <v>20</v>
      </c>
      <c r="C52" s="165"/>
      <c r="D52" s="165">
        <f>январь!G15</f>
        <v>0</v>
      </c>
      <c r="E52" s="165">
        <f>февраль!G15</f>
        <v>0</v>
      </c>
      <c r="F52" s="165">
        <f>март!G15</f>
        <v>0</v>
      </c>
      <c r="G52" s="165">
        <f>апрель!G15</f>
        <v>0</v>
      </c>
      <c r="H52" s="124">
        <f>май!G15</f>
        <v>18618.24</v>
      </c>
      <c r="I52" s="124">
        <f>июнь!G15</f>
        <v>18618.24</v>
      </c>
      <c r="J52" s="125">
        <f>июль!G15</f>
        <v>18618.24</v>
      </c>
      <c r="K52" s="125">
        <f>август!G15</f>
        <v>18618.24</v>
      </c>
      <c r="L52" s="125">
        <f>сентябрь!G15</f>
        <v>18618.24</v>
      </c>
      <c r="M52" s="125">
        <f>октябрь!G15</f>
        <v>18618.24</v>
      </c>
      <c r="N52" s="125">
        <f>ноябрь!G15</f>
        <v>18618.24</v>
      </c>
      <c r="O52" s="125">
        <f>декабрь!G15</f>
        <v>18618.24</v>
      </c>
      <c r="P52" s="124">
        <f t="shared" si="9"/>
        <v>148945.92</v>
      </c>
      <c r="Q52" s="125">
        <f>Q7</f>
        <v>118689.02</v>
      </c>
      <c r="R52" s="154">
        <f t="shared" si="10"/>
        <v>30256.90000000001</v>
      </c>
      <c r="T52" s="114"/>
    </row>
    <row r="53" spans="1:20" ht="15.75">
      <c r="A53" s="122"/>
      <c r="B53" s="77" t="s">
        <v>209</v>
      </c>
      <c r="C53" s="165"/>
      <c r="D53" s="165">
        <f>январь!G16</f>
        <v>0</v>
      </c>
      <c r="E53" s="165">
        <f>февраль!G16</f>
        <v>0</v>
      </c>
      <c r="F53" s="165">
        <f>март!G16</f>
        <v>0</v>
      </c>
      <c r="G53" s="165">
        <f>апрель!G16</f>
        <v>0</v>
      </c>
      <c r="H53" s="124">
        <f>май!G16</f>
        <v>10131.18</v>
      </c>
      <c r="I53" s="124">
        <f>июнь!G16</f>
        <v>10131.18</v>
      </c>
      <c r="J53" s="125">
        <f>июль!G16</f>
        <v>10131.18</v>
      </c>
      <c r="K53" s="125">
        <f>август!G16</f>
        <v>10131.18</v>
      </c>
      <c r="L53" s="125">
        <f>сентябрь!G16</f>
        <v>10131.18</v>
      </c>
      <c r="M53" s="125">
        <f>октябрь!G16</f>
        <v>10131.18</v>
      </c>
      <c r="N53" s="125">
        <f>ноябрь!G16</f>
        <v>10131.18</v>
      </c>
      <c r="O53" s="125">
        <f>декабрь!G16</f>
        <v>10131.18</v>
      </c>
      <c r="P53" s="124">
        <f t="shared" si="9"/>
        <v>81049.44</v>
      </c>
      <c r="Q53" s="125">
        <f>Q6</f>
        <v>61864.37</v>
      </c>
      <c r="R53" s="154">
        <f t="shared" si="10"/>
        <v>19185.07</v>
      </c>
      <c r="T53" s="114"/>
    </row>
    <row r="54" spans="1:20" ht="15">
      <c r="A54" s="122"/>
      <c r="B54" s="155" t="s">
        <v>131</v>
      </c>
      <c r="C54" s="165"/>
      <c r="D54" s="165">
        <f>январь!G17</f>
        <v>0</v>
      </c>
      <c r="E54" s="165">
        <f>февраль!G17</f>
        <v>0</v>
      </c>
      <c r="F54" s="165">
        <f>март!G17</f>
        <v>0</v>
      </c>
      <c r="G54" s="165">
        <f>апрель!G17</f>
        <v>0</v>
      </c>
      <c r="H54" s="124">
        <f>май!G17</f>
        <v>588.85</v>
      </c>
      <c r="I54" s="124">
        <f>июнь!G17</f>
        <v>588.85</v>
      </c>
      <c r="J54" s="125">
        <f>июль!G17</f>
        <v>643.62</v>
      </c>
      <c r="K54" s="125">
        <f>август!G17</f>
        <v>643.62</v>
      </c>
      <c r="L54" s="125">
        <f>сентябрь!G17</f>
        <v>643.62</v>
      </c>
      <c r="M54" s="125">
        <f>октябрь!G17</f>
        <v>643.62</v>
      </c>
      <c r="N54" s="125">
        <f>ноябрь!G17</f>
        <v>643.62</v>
      </c>
      <c r="O54" s="125">
        <f>декабрь!G17</f>
        <v>643.62</v>
      </c>
      <c r="P54" s="124">
        <f t="shared" si="9"/>
        <v>5039.42</v>
      </c>
      <c r="Q54" s="125">
        <f>P54-O54</f>
        <v>4395.8</v>
      </c>
      <c r="R54" s="154">
        <f t="shared" si="10"/>
        <v>643.6199999999999</v>
      </c>
      <c r="T54" s="114"/>
    </row>
    <row r="55" spans="1:20" ht="15">
      <c r="A55" s="122"/>
      <c r="B55" s="155" t="s">
        <v>132</v>
      </c>
      <c r="C55" s="165"/>
      <c r="D55" s="165">
        <f>январь!G18</f>
        <v>0</v>
      </c>
      <c r="E55" s="165">
        <f>февраль!G18</f>
        <v>0</v>
      </c>
      <c r="F55" s="165">
        <f>март!G18</f>
        <v>0</v>
      </c>
      <c r="G55" s="165">
        <f>апрель!G18</f>
        <v>0</v>
      </c>
      <c r="H55" s="124">
        <f>май!G18</f>
        <v>0</v>
      </c>
      <c r="I55" s="124">
        <f>июнь!G18</f>
        <v>1157.15</v>
      </c>
      <c r="J55" s="125">
        <f>июль!G18</f>
        <v>0</v>
      </c>
      <c r="K55" s="125">
        <f>август!G18</f>
        <v>781.18</v>
      </c>
      <c r="L55" s="125">
        <f>сентябрь!G18</f>
        <v>0</v>
      </c>
      <c r="M55" s="125">
        <f>октябрь!G18</f>
        <v>0</v>
      </c>
      <c r="N55" s="125">
        <f>ноябрь!G18</f>
        <v>530.84</v>
      </c>
      <c r="O55" s="125">
        <f>декабрь!G18</f>
        <v>1698.5700000000002</v>
      </c>
      <c r="P55" s="124">
        <f t="shared" si="9"/>
        <v>4167.74</v>
      </c>
      <c r="Q55" s="125">
        <f>P55-O55</f>
        <v>2469.1699999999996</v>
      </c>
      <c r="R55" s="154">
        <f t="shared" si="10"/>
        <v>1698.5700000000002</v>
      </c>
      <c r="T55" s="114"/>
    </row>
    <row r="56" spans="1:20" ht="15">
      <c r="A56" s="122"/>
      <c r="B56" s="157" t="s">
        <v>49</v>
      </c>
      <c r="C56" s="165"/>
      <c r="D56" s="165">
        <f>январь!G19</f>
        <v>0</v>
      </c>
      <c r="E56" s="165">
        <f>февраль!G19</f>
        <v>0</v>
      </c>
      <c r="F56" s="165">
        <f>март!G19</f>
        <v>0</v>
      </c>
      <c r="G56" s="165">
        <f>апрель!G19</f>
        <v>0</v>
      </c>
      <c r="H56" s="124">
        <f>май!G19</f>
        <v>4687</v>
      </c>
      <c r="I56" s="124">
        <f>июнь!G19</f>
        <v>4687</v>
      </c>
      <c r="J56" s="125">
        <f>июль!G19</f>
        <v>4687</v>
      </c>
      <c r="K56" s="125">
        <f>август!G19</f>
        <v>4687</v>
      </c>
      <c r="L56" s="125">
        <f>сентябрь!G19</f>
        <v>4687</v>
      </c>
      <c r="M56" s="125">
        <f>октябрь!G19</f>
        <v>4687</v>
      </c>
      <c r="N56" s="125">
        <f>ноябрь!G19</f>
        <v>4687</v>
      </c>
      <c r="O56" s="125">
        <f>декабрь!G19</f>
        <v>4687</v>
      </c>
      <c r="P56" s="124">
        <f t="shared" si="9"/>
        <v>37496</v>
      </c>
      <c r="Q56" s="125">
        <f>Q8</f>
        <v>27733.57</v>
      </c>
      <c r="R56" s="154">
        <f t="shared" si="10"/>
        <v>9762.43</v>
      </c>
      <c r="T56" s="114"/>
    </row>
    <row r="57" spans="1:256" ht="15">
      <c r="A57" s="33"/>
      <c r="B57" s="33" t="s">
        <v>195</v>
      </c>
      <c r="C57" s="33"/>
      <c r="D57" s="165">
        <f>январь!G20</f>
        <v>0</v>
      </c>
      <c r="E57" s="165">
        <f>февраль!G20</f>
        <v>0</v>
      </c>
      <c r="F57" s="165">
        <f>март!G20</f>
        <v>0</v>
      </c>
      <c r="G57" s="165">
        <f>апрель!G20</f>
        <v>0</v>
      </c>
      <c r="H57" s="124">
        <f>май!G20</f>
        <v>2194.1</v>
      </c>
      <c r="I57" s="124">
        <f>июнь!G20</f>
        <v>0</v>
      </c>
      <c r="J57" s="125">
        <f>июль!G20</f>
        <v>276.15</v>
      </c>
      <c r="K57" s="125">
        <f>август!G20</f>
        <v>883.45</v>
      </c>
      <c r="L57" s="125">
        <f>сентябрь!G20</f>
        <v>0</v>
      </c>
      <c r="M57" s="125">
        <f>октябрь!G20</f>
        <v>1440.28</v>
      </c>
      <c r="N57" s="125">
        <f>ноябрь!G20</f>
        <v>1163.28</v>
      </c>
      <c r="O57" s="125">
        <f>декабрь!G20</f>
        <v>731.01</v>
      </c>
      <c r="P57" s="124">
        <f t="shared" si="9"/>
        <v>6688.2699999999995</v>
      </c>
      <c r="Q57" s="195">
        <f>Q9</f>
        <v>1640.27</v>
      </c>
      <c r="R57" s="154">
        <f t="shared" si="10"/>
        <v>5048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ht="15">
      <c r="A58" s="33"/>
      <c r="B58" s="33" t="s">
        <v>198</v>
      </c>
      <c r="C58" s="33"/>
      <c r="D58" s="165">
        <f>январь!G21</f>
        <v>0</v>
      </c>
      <c r="E58" s="165">
        <f>февраль!G21</f>
        <v>0</v>
      </c>
      <c r="F58" s="165">
        <f>март!G21</f>
        <v>0</v>
      </c>
      <c r="G58" s="165">
        <f>апрель!G21</f>
        <v>0</v>
      </c>
      <c r="H58" s="124">
        <f>май!G21</f>
        <v>0</v>
      </c>
      <c r="I58" s="124">
        <f>июнь!G21</f>
        <v>0</v>
      </c>
      <c r="J58" s="125">
        <f>июль!G21</f>
        <v>0</v>
      </c>
      <c r="K58" s="125">
        <f>август!G21</f>
        <v>0</v>
      </c>
      <c r="L58" s="125">
        <f>сентябрь!G21</f>
        <v>0</v>
      </c>
      <c r="M58" s="125">
        <f>октябрь!G21</f>
        <v>0</v>
      </c>
      <c r="N58" s="125">
        <f>ноябрь!G21</f>
        <v>0</v>
      </c>
      <c r="O58" s="125">
        <f>декабрь!G21</f>
        <v>0</v>
      </c>
      <c r="P58" s="124">
        <f t="shared" si="9"/>
        <v>0</v>
      </c>
      <c r="Q58" s="33"/>
      <c r="R58" s="154">
        <f t="shared" si="10"/>
        <v>0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ht="15">
      <c r="A59" s="33"/>
      <c r="B59" s="33" t="s">
        <v>196</v>
      </c>
      <c r="C59" s="33"/>
      <c r="D59" s="165">
        <f>январь!G22</f>
        <v>0</v>
      </c>
      <c r="E59" s="165">
        <f>февраль!G22</f>
        <v>0</v>
      </c>
      <c r="F59" s="165">
        <f>март!G22</f>
        <v>0</v>
      </c>
      <c r="G59" s="165">
        <f>апрель!G22</f>
        <v>0</v>
      </c>
      <c r="H59" s="124">
        <f>май!G22</f>
        <v>1874.64</v>
      </c>
      <c r="I59" s="124">
        <f>июнь!G22</f>
        <v>0</v>
      </c>
      <c r="J59" s="125">
        <f>июль!G22</f>
        <v>-1057.1</v>
      </c>
      <c r="K59" s="125">
        <f>август!G22</f>
        <v>0</v>
      </c>
      <c r="L59" s="125">
        <f>сентябрь!G22</f>
        <v>0</v>
      </c>
      <c r="M59" s="125">
        <f>октябрь!G22</f>
        <v>0</v>
      </c>
      <c r="N59" s="125">
        <f>ноябрь!G22</f>
        <v>0</v>
      </c>
      <c r="O59" s="125">
        <f>декабрь!G22</f>
        <v>0</v>
      </c>
      <c r="P59" s="124">
        <f t="shared" si="9"/>
        <v>817.5400000000002</v>
      </c>
      <c r="Q59" s="195">
        <f>Q27</f>
        <v>112791.3</v>
      </c>
      <c r="R59" s="154">
        <f t="shared" si="10"/>
        <v>-111973.76000000001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ht="15">
      <c r="A60" s="33"/>
      <c r="B60" s="33" t="s">
        <v>197</v>
      </c>
      <c r="C60" s="33"/>
      <c r="D60" s="165">
        <f>январь!G23</f>
        <v>0</v>
      </c>
      <c r="E60" s="165">
        <f>февраль!G23</f>
        <v>0</v>
      </c>
      <c r="F60" s="165">
        <f>март!G23</f>
        <v>0</v>
      </c>
      <c r="G60" s="165">
        <f>апрель!G23</f>
        <v>0</v>
      </c>
      <c r="H60" s="124">
        <f>май!G23</f>
        <v>0</v>
      </c>
      <c r="I60" s="124">
        <f>июнь!G23</f>
        <v>0</v>
      </c>
      <c r="J60" s="125">
        <f>июль!G23</f>
        <v>0</v>
      </c>
      <c r="K60" s="125">
        <f>август!G23</f>
        <v>0</v>
      </c>
      <c r="L60" s="125">
        <f>сентябрь!G23</f>
        <v>0</v>
      </c>
      <c r="M60" s="125">
        <f>октябрь!G23</f>
        <v>0</v>
      </c>
      <c r="N60" s="125">
        <f>ноябрь!G23</f>
        <v>0</v>
      </c>
      <c r="O60" s="125">
        <f>декабрь!G23</f>
        <v>0</v>
      </c>
      <c r="P60" s="124">
        <f t="shared" si="9"/>
        <v>0</v>
      </c>
      <c r="Q60" s="33"/>
      <c r="R60" s="154">
        <f t="shared" si="10"/>
        <v>0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0" ht="15">
      <c r="A61" s="122"/>
      <c r="B61" s="157" t="s">
        <v>47</v>
      </c>
      <c r="C61" s="165"/>
      <c r="D61" s="165">
        <f>D62+D63</f>
        <v>0</v>
      </c>
      <c r="E61" s="165">
        <f aca="true" t="shared" si="11" ref="E61:Q61">E62+E63</f>
        <v>0</v>
      </c>
      <c r="F61" s="165">
        <f t="shared" si="11"/>
        <v>0</v>
      </c>
      <c r="G61" s="165">
        <f t="shared" si="11"/>
        <v>0</v>
      </c>
      <c r="H61" s="165">
        <f t="shared" si="11"/>
        <v>0</v>
      </c>
      <c r="I61" s="165">
        <f t="shared" si="11"/>
        <v>2500</v>
      </c>
      <c r="J61" s="165">
        <f t="shared" si="11"/>
        <v>2800</v>
      </c>
      <c r="K61" s="165">
        <f t="shared" si="11"/>
        <v>0</v>
      </c>
      <c r="L61" s="165">
        <f t="shared" si="11"/>
        <v>0</v>
      </c>
      <c r="M61" s="165">
        <f t="shared" si="11"/>
        <v>0</v>
      </c>
      <c r="N61" s="165">
        <f>N62+N63+N64</f>
        <v>0</v>
      </c>
      <c r="O61" s="165">
        <f t="shared" si="11"/>
        <v>0</v>
      </c>
      <c r="P61" s="165">
        <f t="shared" si="11"/>
        <v>5300</v>
      </c>
      <c r="Q61" s="165">
        <f t="shared" si="11"/>
        <v>5300</v>
      </c>
      <c r="R61" s="154">
        <f t="shared" si="10"/>
        <v>0</v>
      </c>
      <c r="T61" s="114"/>
    </row>
    <row r="62" spans="1:20" s="132" customFormat="1" ht="15">
      <c r="A62" s="128"/>
      <c r="B62" s="167" t="s">
        <v>160</v>
      </c>
      <c r="C62" s="166"/>
      <c r="D62" s="165">
        <f>январь!G25</f>
        <v>0</v>
      </c>
      <c r="E62" s="165">
        <f>февраль!G25</f>
        <v>0</v>
      </c>
      <c r="F62" s="166">
        <f>март!G25</f>
        <v>0</v>
      </c>
      <c r="G62" s="166">
        <f>апрель!G25</f>
        <v>0</v>
      </c>
      <c r="H62" s="118">
        <f>май!G25</f>
        <v>0</v>
      </c>
      <c r="I62" s="118">
        <f>июнь!G25</f>
        <v>2500</v>
      </c>
      <c r="J62" s="130">
        <f>июль!G25</f>
        <v>2800</v>
      </c>
      <c r="K62" s="130">
        <f>август!G22</f>
        <v>0</v>
      </c>
      <c r="L62" s="130">
        <f>сентябрь!G22</f>
        <v>0</v>
      </c>
      <c r="M62" s="130">
        <f>октябрь!G21</f>
        <v>0</v>
      </c>
      <c r="N62" s="130">
        <f>ноябрь!G22</f>
        <v>0</v>
      </c>
      <c r="O62" s="130">
        <f>декабрь!G21</f>
        <v>0</v>
      </c>
      <c r="P62" s="118">
        <f t="shared" si="9"/>
        <v>5300</v>
      </c>
      <c r="Q62" s="130">
        <f>P62</f>
        <v>5300</v>
      </c>
      <c r="R62" s="168">
        <f t="shared" si="10"/>
        <v>0</v>
      </c>
      <c r="S62" s="131"/>
      <c r="T62" s="169"/>
    </row>
    <row r="63" spans="1:20" s="132" customFormat="1" ht="15">
      <c r="A63" s="128"/>
      <c r="B63" s="167"/>
      <c r="C63" s="166"/>
      <c r="D63" s="165">
        <f>январь!G26</f>
        <v>0</v>
      </c>
      <c r="E63" s="165">
        <f>февраль!G26</f>
        <v>0</v>
      </c>
      <c r="F63" s="166">
        <f>март!G26</f>
        <v>0</v>
      </c>
      <c r="G63" s="166">
        <f>апрель!G26</f>
        <v>0</v>
      </c>
      <c r="H63" s="118">
        <f>май!G26</f>
        <v>0</v>
      </c>
      <c r="I63" s="118">
        <f>июнь!G22</f>
        <v>0</v>
      </c>
      <c r="J63" s="130">
        <f>июль!G26</f>
        <v>0</v>
      </c>
      <c r="K63" s="130">
        <f>август!G21</f>
        <v>0</v>
      </c>
      <c r="L63" s="130">
        <f>сентябрь!G21</f>
        <v>0</v>
      </c>
      <c r="M63" s="130">
        <f>октябрь!G22</f>
        <v>0</v>
      </c>
      <c r="N63" s="130">
        <f>ноябрь!G22</f>
        <v>0</v>
      </c>
      <c r="O63" s="130">
        <f>декабрь!G22</f>
        <v>0</v>
      </c>
      <c r="P63" s="118">
        <f t="shared" si="9"/>
        <v>0</v>
      </c>
      <c r="Q63" s="130"/>
      <c r="R63" s="168">
        <f t="shared" si="10"/>
        <v>0</v>
      </c>
      <c r="S63" s="131"/>
      <c r="T63" s="169"/>
    </row>
    <row r="64" spans="1:20" s="132" customFormat="1" ht="15">
      <c r="A64" s="128"/>
      <c r="B64" s="167"/>
      <c r="C64" s="166"/>
      <c r="D64" s="165"/>
      <c r="E64" s="166"/>
      <c r="F64" s="166"/>
      <c r="G64" s="166"/>
      <c r="H64" s="118"/>
      <c r="I64" s="118"/>
      <c r="J64" s="130"/>
      <c r="K64" s="130"/>
      <c r="L64" s="130"/>
      <c r="M64" s="130"/>
      <c r="N64" s="130">
        <f>ноябрь!G21</f>
        <v>0</v>
      </c>
      <c r="O64" s="130"/>
      <c r="P64" s="118">
        <f t="shared" si="9"/>
        <v>0</v>
      </c>
      <c r="Q64" s="130"/>
      <c r="R64" s="168">
        <f t="shared" si="10"/>
        <v>0</v>
      </c>
      <c r="S64" s="131"/>
      <c r="T64" s="169"/>
    </row>
    <row r="65" spans="1:20" s="114" customFormat="1" ht="29.25">
      <c r="A65" s="110">
        <v>2</v>
      </c>
      <c r="B65" s="152" t="s">
        <v>141</v>
      </c>
      <c r="C65" s="112">
        <f>C66+C67+C68+C69+C70</f>
        <v>0</v>
      </c>
      <c r="D65" s="112">
        <f aca="true" t="shared" si="12" ref="D65:Q65">D66+D67+D68+D69+D70</f>
        <v>0</v>
      </c>
      <c r="E65" s="112">
        <f t="shared" si="12"/>
        <v>0</v>
      </c>
      <c r="F65" s="112">
        <f t="shared" si="12"/>
        <v>0</v>
      </c>
      <c r="G65" s="112">
        <f t="shared" si="12"/>
        <v>0</v>
      </c>
      <c r="H65" s="112">
        <f t="shared" si="12"/>
        <v>32192.35</v>
      </c>
      <c r="I65" s="112">
        <f t="shared" si="12"/>
        <v>22491.6</v>
      </c>
      <c r="J65" s="112">
        <f t="shared" si="12"/>
        <v>43185.71</v>
      </c>
      <c r="K65" s="112">
        <f t="shared" si="12"/>
        <v>21133.31</v>
      </c>
      <c r="L65" s="112">
        <f t="shared" si="12"/>
        <v>28797.61</v>
      </c>
      <c r="M65" s="112">
        <f t="shared" si="12"/>
        <v>56014.96000000001</v>
      </c>
      <c r="N65" s="112">
        <f t="shared" si="12"/>
        <v>27109.23</v>
      </c>
      <c r="O65" s="112">
        <f t="shared" si="12"/>
        <v>22943.79</v>
      </c>
      <c r="P65" s="187">
        <f t="shared" si="9"/>
        <v>253868.56000000006</v>
      </c>
      <c r="Q65" s="112">
        <f t="shared" si="12"/>
        <v>232013.77</v>
      </c>
      <c r="R65" s="160">
        <f t="shared" si="10"/>
        <v>21854.790000000066</v>
      </c>
      <c r="S65" s="113"/>
      <c r="T65" s="114" t="e">
        <f>#REF!/3</f>
        <v>#REF!</v>
      </c>
    </row>
    <row r="66" spans="1:20" ht="45">
      <c r="A66" s="122"/>
      <c r="B66" s="151" t="s">
        <v>133</v>
      </c>
      <c r="C66" s="124"/>
      <c r="D66" s="124">
        <f>январь!E31+январь!E32</f>
        <v>0</v>
      </c>
      <c r="E66" s="124">
        <f>февраль!E31+февраль!E32</f>
        <v>0</v>
      </c>
      <c r="F66" s="124">
        <f>март!E31+март!E32</f>
        <v>0</v>
      </c>
      <c r="G66" s="124">
        <f>апрель!E31+апрель!E32</f>
        <v>0</v>
      </c>
      <c r="H66" s="124">
        <f>май!E31+май!E32</f>
        <v>32192.35</v>
      </c>
      <c r="I66" s="124">
        <f>июнь!E31+июнь!E32</f>
        <v>22491.6</v>
      </c>
      <c r="J66" s="124">
        <f>июль!E31+июль!E32</f>
        <v>21801.71</v>
      </c>
      <c r="K66" s="153">
        <f>август!E31+август!E32</f>
        <v>19736.11</v>
      </c>
      <c r="L66" s="153">
        <f>сентябрь!E31+сентябрь!E32</f>
        <v>19134.31</v>
      </c>
      <c r="M66" s="153">
        <f>октябрь!E31+октябрь!E32</f>
        <v>20565.06</v>
      </c>
      <c r="N66" s="153">
        <f>ноябрь!E31+ноябрь!E32</f>
        <v>21256.5</v>
      </c>
      <c r="O66" s="153">
        <f>декабрь!E31+декабрь!E32</f>
        <v>21854.79</v>
      </c>
      <c r="P66" s="124">
        <f t="shared" si="9"/>
        <v>179032.43000000002</v>
      </c>
      <c r="Q66" s="125">
        <f>P66-O66</f>
        <v>157177.64</v>
      </c>
      <c r="R66" s="154">
        <f t="shared" si="10"/>
        <v>21854.790000000008</v>
      </c>
      <c r="T66" s="114"/>
    </row>
    <row r="67" spans="1:18" ht="15">
      <c r="A67" s="122"/>
      <c r="B67" s="155" t="s">
        <v>129</v>
      </c>
      <c r="C67" s="158"/>
      <c r="D67" s="124">
        <f>январь!F38-январь!F33</f>
        <v>0</v>
      </c>
      <c r="E67" s="124">
        <f>февраль!F38-февраль!F33</f>
        <v>0</v>
      </c>
      <c r="F67" s="165">
        <f>март!F38-март!F33</f>
        <v>0</v>
      </c>
      <c r="G67" s="184">
        <f>апрель!F38-Свод!G68</f>
        <v>0</v>
      </c>
      <c r="H67" s="124">
        <f>май!F38-Свод!H68</f>
        <v>0</v>
      </c>
      <c r="I67" s="124">
        <f>июнь!F38-Свод!I68</f>
        <v>0</v>
      </c>
      <c r="J67" s="125">
        <f>июль!F38-Свод!J68</f>
        <v>21324</v>
      </c>
      <c r="K67" s="125">
        <f>август!F38-Свод!K68</f>
        <v>804.2</v>
      </c>
      <c r="L67" s="125">
        <f>сентябрь!F38-L68</f>
        <v>9598.3</v>
      </c>
      <c r="M67" s="125">
        <f>октябрь!F38-Свод!M68</f>
        <v>1993</v>
      </c>
      <c r="N67" s="125">
        <f>ноябрь!F38-Свод!N68</f>
        <v>1402.8</v>
      </c>
      <c r="O67" s="125">
        <f>декабрь!F38-Свод!O68</f>
        <v>1025</v>
      </c>
      <c r="P67" s="124">
        <f t="shared" si="9"/>
        <v>36147.3</v>
      </c>
      <c r="Q67" s="125">
        <f>P67</f>
        <v>36147.3</v>
      </c>
      <c r="R67" s="154">
        <f t="shared" si="10"/>
        <v>0</v>
      </c>
    </row>
    <row r="68" spans="1:18" ht="15" customHeight="1">
      <c r="A68" s="122"/>
      <c r="B68" s="155" t="s">
        <v>130</v>
      </c>
      <c r="C68" s="158"/>
      <c r="D68" s="165">
        <f>январь!G33</f>
        <v>0</v>
      </c>
      <c r="E68" s="165">
        <f>февраль!G33</f>
        <v>0</v>
      </c>
      <c r="F68" s="165">
        <f>март!G33</f>
        <v>0</v>
      </c>
      <c r="G68" s="184">
        <f>апрель!G29</f>
        <v>0</v>
      </c>
      <c r="H68" s="124">
        <f>май!G29</f>
        <v>0</v>
      </c>
      <c r="I68" s="124">
        <f>июнь!G29</f>
        <v>0</v>
      </c>
      <c r="J68" s="125">
        <f>июль!G33</f>
        <v>60</v>
      </c>
      <c r="K68" s="125">
        <f>август!G33</f>
        <v>593</v>
      </c>
      <c r="L68" s="125">
        <f>сентябрь!G33</f>
        <v>65</v>
      </c>
      <c r="M68" s="125">
        <f>октябрь!G33</f>
        <v>1736.9</v>
      </c>
      <c r="N68" s="124">
        <f>ноябрь!G33</f>
        <v>65</v>
      </c>
      <c r="O68" s="124">
        <f>декабрь!G33</f>
        <v>64</v>
      </c>
      <c r="P68" s="124">
        <f t="shared" si="9"/>
        <v>2583.9</v>
      </c>
      <c r="Q68" s="125">
        <f>P68</f>
        <v>2583.9</v>
      </c>
      <c r="R68" s="154">
        <f t="shared" si="10"/>
        <v>0</v>
      </c>
    </row>
    <row r="69" spans="1:18" ht="15">
      <c r="A69" s="122"/>
      <c r="B69" s="155" t="s">
        <v>137</v>
      </c>
      <c r="C69" s="158"/>
      <c r="D69" s="158"/>
      <c r="E69" s="158"/>
      <c r="F69" s="165">
        <f>март!G34</f>
        <v>0</v>
      </c>
      <c r="G69" s="184">
        <f>апрель!G34</f>
        <v>0</v>
      </c>
      <c r="H69" s="124">
        <f>май!G34</f>
        <v>0</v>
      </c>
      <c r="I69" s="124">
        <f>июнь!G34</f>
        <v>0</v>
      </c>
      <c r="J69" s="125">
        <f>июль!G34</f>
        <v>0</v>
      </c>
      <c r="K69" s="125">
        <f>август!G34</f>
        <v>0</v>
      </c>
      <c r="L69" s="125">
        <f>сентябрь!G34</f>
        <v>0</v>
      </c>
      <c r="M69" s="125">
        <f>октябрь!G29</f>
        <v>0</v>
      </c>
      <c r="N69" s="124">
        <f>ноябрь!G34</f>
        <v>4384.93</v>
      </c>
      <c r="O69" s="124">
        <f>декабрь!G29</f>
        <v>0</v>
      </c>
      <c r="P69" s="124">
        <f t="shared" si="9"/>
        <v>4384.93</v>
      </c>
      <c r="Q69" s="125">
        <f>P69</f>
        <v>4384.93</v>
      </c>
      <c r="R69" s="154">
        <f t="shared" si="10"/>
        <v>0</v>
      </c>
    </row>
    <row r="70" spans="1:18" ht="15">
      <c r="A70" s="122"/>
      <c r="B70" s="157" t="s">
        <v>47</v>
      </c>
      <c r="C70" s="124">
        <f>C71+C72+C73</f>
        <v>0</v>
      </c>
      <c r="D70" s="124">
        <f aca="true" t="shared" si="13" ref="D70:Q70">D71+D72+D73</f>
        <v>0</v>
      </c>
      <c r="E70" s="124">
        <f t="shared" si="13"/>
        <v>0</v>
      </c>
      <c r="F70" s="124">
        <f t="shared" si="13"/>
        <v>0</v>
      </c>
      <c r="G70" s="124">
        <f t="shared" si="13"/>
        <v>0</v>
      </c>
      <c r="H70" s="124">
        <f t="shared" si="13"/>
        <v>0</v>
      </c>
      <c r="I70" s="124">
        <f t="shared" si="13"/>
        <v>0</v>
      </c>
      <c r="J70" s="124">
        <f t="shared" si="13"/>
        <v>0</v>
      </c>
      <c r="K70" s="124">
        <f t="shared" si="13"/>
        <v>0</v>
      </c>
      <c r="L70" s="124">
        <f t="shared" si="13"/>
        <v>0</v>
      </c>
      <c r="M70" s="124">
        <f t="shared" si="13"/>
        <v>31720</v>
      </c>
      <c r="N70" s="124">
        <f t="shared" si="13"/>
        <v>0</v>
      </c>
      <c r="O70" s="124">
        <f t="shared" si="13"/>
        <v>0</v>
      </c>
      <c r="P70" s="124">
        <f t="shared" si="13"/>
        <v>31720</v>
      </c>
      <c r="Q70" s="124">
        <f t="shared" si="13"/>
        <v>31720</v>
      </c>
      <c r="R70" s="154">
        <f t="shared" si="10"/>
        <v>0</v>
      </c>
    </row>
    <row r="71" spans="1:19" s="132" customFormat="1" ht="15">
      <c r="A71" s="128"/>
      <c r="B71" s="129" t="s">
        <v>205</v>
      </c>
      <c r="C71" s="118"/>
      <c r="D71" s="118"/>
      <c r="E71" s="118"/>
      <c r="F71" s="185">
        <f>март!F36</f>
        <v>0</v>
      </c>
      <c r="G71" s="185">
        <f>апрель!G36</f>
        <v>0</v>
      </c>
      <c r="H71" s="118">
        <f>май!G36</f>
        <v>0</v>
      </c>
      <c r="I71" s="118">
        <f>июнь!G36</f>
        <v>0</v>
      </c>
      <c r="J71" s="130">
        <f>июль!G36</f>
        <v>0</v>
      </c>
      <c r="K71" s="130">
        <f>август!G36</f>
        <v>0</v>
      </c>
      <c r="L71" s="130">
        <f>сентябрь!G36</f>
        <v>0</v>
      </c>
      <c r="M71" s="130">
        <f>октябрь!G36</f>
        <v>31720</v>
      </c>
      <c r="N71" s="118">
        <f>ноябрь!G36</f>
        <v>0</v>
      </c>
      <c r="O71" s="118">
        <f>декабрь!G36</f>
        <v>0</v>
      </c>
      <c r="P71" s="118">
        <f t="shared" si="9"/>
        <v>31720</v>
      </c>
      <c r="Q71" s="118">
        <f>P71</f>
        <v>31720</v>
      </c>
      <c r="R71" s="154">
        <f t="shared" si="10"/>
        <v>0</v>
      </c>
      <c r="S71" s="131"/>
    </row>
    <row r="72" spans="1:19" s="132" customFormat="1" ht="15">
      <c r="A72" s="128"/>
      <c r="B72" s="129"/>
      <c r="C72" s="118"/>
      <c r="D72" s="118"/>
      <c r="E72" s="118"/>
      <c r="F72" s="185">
        <f>март!F37</f>
        <v>0</v>
      </c>
      <c r="G72" s="185">
        <f>апрель!G37</f>
        <v>0</v>
      </c>
      <c r="H72" s="118">
        <f>май!G37</f>
        <v>0</v>
      </c>
      <c r="I72" s="118">
        <f>июнь!G37</f>
        <v>0</v>
      </c>
      <c r="J72" s="130">
        <f>июль!G37</f>
        <v>0</v>
      </c>
      <c r="K72" s="130">
        <f>август!G37</f>
        <v>0</v>
      </c>
      <c r="L72" s="130">
        <f>сентябрь!G37</f>
        <v>0</v>
      </c>
      <c r="M72" s="130">
        <f>октябрь!G37</f>
        <v>0</v>
      </c>
      <c r="N72" s="118">
        <f>ноябрь!G35</f>
        <v>0</v>
      </c>
      <c r="O72" s="118">
        <f>декабрь!G35</f>
        <v>0</v>
      </c>
      <c r="P72" s="118">
        <f t="shared" si="9"/>
        <v>0</v>
      </c>
      <c r="Q72" s="118"/>
      <c r="R72" s="154">
        <f t="shared" si="10"/>
        <v>0</v>
      </c>
      <c r="S72" s="131"/>
    </row>
    <row r="73" spans="1:19" s="132" customFormat="1" ht="15">
      <c r="A73" s="128"/>
      <c r="B73" s="129"/>
      <c r="C73" s="128"/>
      <c r="D73" s="128"/>
      <c r="E73" s="128"/>
      <c r="F73" s="118"/>
      <c r="G73" s="185"/>
      <c r="H73" s="118"/>
      <c r="I73" s="118"/>
      <c r="J73" s="118"/>
      <c r="K73" s="118"/>
      <c r="L73" s="118"/>
      <c r="M73" s="118"/>
      <c r="N73" s="118"/>
      <c r="O73" s="118"/>
      <c r="P73" s="118">
        <f t="shared" si="9"/>
        <v>0</v>
      </c>
      <c r="Q73" s="118"/>
      <c r="R73" s="154">
        <f t="shared" si="10"/>
        <v>0</v>
      </c>
      <c r="S73" s="131"/>
    </row>
    <row r="74" spans="1:26" s="114" customFormat="1" ht="14.25">
      <c r="A74" s="110">
        <v>3</v>
      </c>
      <c r="B74" s="163" t="s">
        <v>140</v>
      </c>
      <c r="C74" s="170">
        <f>C75+C76+C77+C78</f>
        <v>0</v>
      </c>
      <c r="D74" s="170">
        <f aca="true" t="shared" si="14" ref="D74:Q74">D75+D76+D77+D78</f>
        <v>0</v>
      </c>
      <c r="E74" s="170">
        <f t="shared" si="14"/>
        <v>0</v>
      </c>
      <c r="F74" s="170">
        <f t="shared" si="14"/>
        <v>0</v>
      </c>
      <c r="G74" s="170">
        <f t="shared" si="14"/>
        <v>0</v>
      </c>
      <c r="H74" s="170">
        <f t="shared" si="14"/>
        <v>4572.43</v>
      </c>
      <c r="I74" s="170">
        <f t="shared" si="14"/>
        <v>9055.52</v>
      </c>
      <c r="J74" s="170">
        <f t="shared" si="14"/>
        <v>2026.44</v>
      </c>
      <c r="K74" s="170">
        <f t="shared" si="14"/>
        <v>1798.58</v>
      </c>
      <c r="L74" s="170">
        <f t="shared" si="14"/>
        <v>1914.47</v>
      </c>
      <c r="M74" s="170">
        <f t="shared" si="14"/>
        <v>50724.88</v>
      </c>
      <c r="N74" s="170">
        <f t="shared" si="14"/>
        <v>1684.08</v>
      </c>
      <c r="O74" s="170">
        <f t="shared" si="14"/>
        <v>159249.79</v>
      </c>
      <c r="P74" s="112">
        <f t="shared" si="9"/>
        <v>231026.19</v>
      </c>
      <c r="Q74" s="170">
        <f t="shared" si="14"/>
        <v>72060.4</v>
      </c>
      <c r="R74" s="160">
        <f t="shared" si="10"/>
        <v>158965.79</v>
      </c>
      <c r="S74" s="113"/>
      <c r="X74" s="113" t="e">
        <f>#REF!+#REF!</f>
        <v>#REF!</v>
      </c>
      <c r="Z74" s="113">
        <v>1365644.8953411141</v>
      </c>
    </row>
    <row r="75" spans="1:18" ht="15" customHeight="1">
      <c r="A75" s="122"/>
      <c r="B75" s="151" t="s">
        <v>133</v>
      </c>
      <c r="C75" s="124"/>
      <c r="D75" s="124">
        <f>январь!E42</f>
        <v>0</v>
      </c>
      <c r="E75" s="124">
        <f>февраль!E42</f>
        <v>0</v>
      </c>
      <c r="F75" s="124">
        <f>март!E42</f>
        <v>0</v>
      </c>
      <c r="G75" s="124">
        <f>апрель!E42</f>
        <v>0</v>
      </c>
      <c r="H75" s="124">
        <f>май!E42</f>
        <v>4202.43</v>
      </c>
      <c r="I75" s="124">
        <f>июнь!E42</f>
        <v>2155.52</v>
      </c>
      <c r="J75" s="124">
        <f>июль!E42</f>
        <v>2026.44</v>
      </c>
      <c r="K75" s="124">
        <f>август!E42</f>
        <v>1628.58</v>
      </c>
      <c r="L75" s="124">
        <f>сентябрь!E42</f>
        <v>1914.47</v>
      </c>
      <c r="M75" s="124">
        <f>октябрь!E42</f>
        <v>1902.88</v>
      </c>
      <c r="N75" s="124">
        <f>ноябрь!E42</f>
        <v>1684.08</v>
      </c>
      <c r="O75" s="124">
        <f>декабрь!E42</f>
        <v>2239.79</v>
      </c>
      <c r="P75" s="124">
        <f t="shared" si="9"/>
        <v>17754.19</v>
      </c>
      <c r="Q75" s="125">
        <f>P75-O75</f>
        <v>15514.399999999998</v>
      </c>
      <c r="R75" s="154">
        <f t="shared" si="10"/>
        <v>2239.790000000001</v>
      </c>
    </row>
    <row r="76" spans="1:26" ht="15">
      <c r="A76" s="122"/>
      <c r="B76" s="155" t="s">
        <v>129</v>
      </c>
      <c r="C76" s="124"/>
      <c r="D76" s="124">
        <f>январь!F47-Свод!D77</f>
        <v>0</v>
      </c>
      <c r="E76" s="124">
        <f>февраль!F47-Свод!E77</f>
        <v>0</v>
      </c>
      <c r="F76" s="124">
        <f>март!F47-Свод!F77</f>
        <v>0</v>
      </c>
      <c r="G76" s="124">
        <f>апрель!F47-Свод!G77</f>
        <v>0</v>
      </c>
      <c r="H76" s="124">
        <f>май!F47-Свод!H77</f>
        <v>370</v>
      </c>
      <c r="I76" s="124">
        <f>июнь!F43-Свод!I77</f>
        <v>0</v>
      </c>
      <c r="J76" s="124">
        <f>июль!E43</f>
        <v>0</v>
      </c>
      <c r="K76" s="125">
        <f>август!F42-Свод!K77</f>
        <v>170</v>
      </c>
      <c r="L76" s="125">
        <f>сентябрь!F42-Свод!L77</f>
        <v>0</v>
      </c>
      <c r="M76" s="125">
        <f>октябрь!F42-Свод!M77</f>
        <v>768</v>
      </c>
      <c r="N76" s="125">
        <f>ноябрь!F42-Свод!N77</f>
        <v>0</v>
      </c>
      <c r="O76" s="125">
        <f>декабрь!F42-Свод!O77</f>
        <v>284</v>
      </c>
      <c r="P76" s="124">
        <f t="shared" si="9"/>
        <v>1592</v>
      </c>
      <c r="Q76" s="125">
        <f>P76</f>
        <v>1592</v>
      </c>
      <c r="R76" s="154">
        <f t="shared" si="10"/>
        <v>0</v>
      </c>
      <c r="Z76" s="126" t="e">
        <f>Z74-X74</f>
        <v>#REF!</v>
      </c>
    </row>
    <row r="77" spans="1:21" ht="15">
      <c r="A77" s="122"/>
      <c r="B77" s="155" t="s">
        <v>130</v>
      </c>
      <c r="C77" s="124"/>
      <c r="D77" s="124">
        <f>январь!G43</f>
        <v>0</v>
      </c>
      <c r="E77" s="124">
        <f>февраль!G39</f>
        <v>0</v>
      </c>
      <c r="F77" s="124">
        <f>март!G39</f>
        <v>0</v>
      </c>
      <c r="G77" s="124">
        <f>апрель!G39</f>
        <v>0</v>
      </c>
      <c r="H77" s="124">
        <f>май!G39</f>
        <v>0</v>
      </c>
      <c r="I77" s="124">
        <f>июнь!G39</f>
        <v>0</v>
      </c>
      <c r="J77" s="125">
        <f>июль!G39</f>
        <v>0</v>
      </c>
      <c r="K77" s="125">
        <f>август!G39</f>
        <v>0</v>
      </c>
      <c r="L77" s="125">
        <f>сентябрь!G39</f>
        <v>0</v>
      </c>
      <c r="M77" s="125">
        <f>октябрь!G39</f>
        <v>0</v>
      </c>
      <c r="N77" s="125">
        <f>ноябрь!G39</f>
        <v>0</v>
      </c>
      <c r="O77" s="125">
        <f>декабрь!G39</f>
        <v>0</v>
      </c>
      <c r="P77" s="124">
        <f t="shared" si="9"/>
        <v>0</v>
      </c>
      <c r="Q77" s="125"/>
      <c r="R77" s="154">
        <f t="shared" si="10"/>
        <v>0</v>
      </c>
      <c r="U77" s="133"/>
    </row>
    <row r="78" spans="1:18" ht="15">
      <c r="A78" s="122"/>
      <c r="B78" s="157" t="s">
        <v>47</v>
      </c>
      <c r="C78" s="124">
        <f>C79+C80</f>
        <v>0</v>
      </c>
      <c r="D78" s="124">
        <f aca="true" t="shared" si="15" ref="D78:Q78">D79+D80</f>
        <v>0</v>
      </c>
      <c r="E78" s="124">
        <f t="shared" si="15"/>
        <v>0</v>
      </c>
      <c r="F78" s="124">
        <f t="shared" si="15"/>
        <v>0</v>
      </c>
      <c r="G78" s="124">
        <f t="shared" si="15"/>
        <v>0</v>
      </c>
      <c r="H78" s="124">
        <f t="shared" si="15"/>
        <v>0</v>
      </c>
      <c r="I78" s="124">
        <f t="shared" si="15"/>
        <v>6900</v>
      </c>
      <c r="J78" s="124">
        <f t="shared" si="15"/>
        <v>0</v>
      </c>
      <c r="K78" s="124">
        <f t="shared" si="15"/>
        <v>0</v>
      </c>
      <c r="L78" s="124">
        <f t="shared" si="15"/>
        <v>0</v>
      </c>
      <c r="M78" s="124">
        <f t="shared" si="15"/>
        <v>48054</v>
      </c>
      <c r="N78" s="124">
        <f t="shared" si="15"/>
        <v>0</v>
      </c>
      <c r="O78" s="124">
        <f>O79+O80+O81</f>
        <v>156726</v>
      </c>
      <c r="P78" s="124">
        <f t="shared" si="9"/>
        <v>211680</v>
      </c>
      <c r="Q78" s="124">
        <f t="shared" si="15"/>
        <v>54954</v>
      </c>
      <c r="R78" s="154">
        <f t="shared" si="10"/>
        <v>156726</v>
      </c>
    </row>
    <row r="79" spans="1:19" s="133" customFormat="1" ht="15">
      <c r="A79" s="134"/>
      <c r="B79" s="135" t="s">
        <v>204</v>
      </c>
      <c r="C79" s="44"/>
      <c r="D79" s="124">
        <f>январь!G45</f>
        <v>0</v>
      </c>
      <c r="E79" s="124">
        <f>февраль!G46</f>
        <v>0</v>
      </c>
      <c r="F79" s="124">
        <f>март!G45</f>
        <v>0</v>
      </c>
      <c r="G79" s="118">
        <f>апрель!G46</f>
        <v>0</v>
      </c>
      <c r="H79" s="118">
        <f>май!G45</f>
        <v>0</v>
      </c>
      <c r="I79" s="118">
        <f>июнь!G45</f>
        <v>6900</v>
      </c>
      <c r="J79" s="130">
        <f>июль!G45</f>
        <v>0</v>
      </c>
      <c r="K79" s="130">
        <f>август!G45</f>
        <v>0</v>
      </c>
      <c r="L79" s="130">
        <f>сентябрь!G45</f>
        <v>0</v>
      </c>
      <c r="M79" s="130">
        <f>октябрь!G46</f>
        <v>0</v>
      </c>
      <c r="N79" s="130">
        <f>ноябрь!G45</f>
        <v>0</v>
      </c>
      <c r="O79" s="130">
        <f>декабрь!G46</f>
        <v>0</v>
      </c>
      <c r="P79" s="118">
        <f t="shared" si="9"/>
        <v>6900</v>
      </c>
      <c r="Q79" s="130">
        <f>P79</f>
        <v>6900</v>
      </c>
      <c r="R79" s="154">
        <f t="shared" si="10"/>
        <v>0</v>
      </c>
      <c r="S79" s="126"/>
    </row>
    <row r="80" spans="1:19" s="133" customFormat="1" ht="15">
      <c r="A80" s="134"/>
      <c r="B80" s="129" t="s">
        <v>208</v>
      </c>
      <c r="C80" s="124"/>
      <c r="D80" s="124"/>
      <c r="E80" s="124">
        <f>февраль!G45</f>
        <v>0</v>
      </c>
      <c r="F80" s="124">
        <f>март!G46</f>
        <v>0</v>
      </c>
      <c r="G80" s="118">
        <f>апрель!G45</f>
        <v>0</v>
      </c>
      <c r="H80" s="118">
        <f>май!G45</f>
        <v>0</v>
      </c>
      <c r="I80" s="118">
        <f>июнь!G46</f>
        <v>0</v>
      </c>
      <c r="J80" s="130">
        <f>июль!G46</f>
        <v>0</v>
      </c>
      <c r="K80" s="130">
        <f>август!G45</f>
        <v>0</v>
      </c>
      <c r="L80" s="130">
        <f>сентябрь!G46</f>
        <v>0</v>
      </c>
      <c r="M80" s="130">
        <f>октябрь!G45</f>
        <v>48054</v>
      </c>
      <c r="N80" s="130">
        <f>ноябрь!G45</f>
        <v>0</v>
      </c>
      <c r="O80" s="130">
        <f>декабрь!G46</f>
        <v>0</v>
      </c>
      <c r="P80" s="118">
        <f t="shared" si="9"/>
        <v>48054</v>
      </c>
      <c r="Q80" s="130">
        <f>P80</f>
        <v>48054</v>
      </c>
      <c r="R80" s="154">
        <f t="shared" si="10"/>
        <v>0</v>
      </c>
      <c r="S80" s="126"/>
    </row>
    <row r="81" spans="1:19" s="133" customFormat="1" ht="15">
      <c r="A81" s="134"/>
      <c r="B81" s="135" t="s">
        <v>207</v>
      </c>
      <c r="C81" s="124"/>
      <c r="D81" s="124"/>
      <c r="E81" s="124"/>
      <c r="F81" s="124"/>
      <c r="G81" s="118">
        <f>апрель!G46</f>
        <v>0</v>
      </c>
      <c r="H81" s="118"/>
      <c r="I81" s="118"/>
      <c r="J81" s="130"/>
      <c r="K81" s="130"/>
      <c r="L81" s="130"/>
      <c r="M81" s="130"/>
      <c r="N81" s="130"/>
      <c r="O81" s="130">
        <f>декабрь!G45</f>
        <v>156726</v>
      </c>
      <c r="P81" s="118">
        <f t="shared" si="9"/>
        <v>156726</v>
      </c>
      <c r="Q81" s="130">
        <f>P81</f>
        <v>156726</v>
      </c>
      <c r="R81" s="154">
        <f t="shared" si="10"/>
        <v>0</v>
      </c>
      <c r="S81" s="126"/>
    </row>
    <row r="82" spans="1:19" s="176" customFormat="1" ht="28.5">
      <c r="A82" s="110">
        <v>4</v>
      </c>
      <c r="B82" s="173" t="s">
        <v>143</v>
      </c>
      <c r="C82" s="174"/>
      <c r="D82" s="170">
        <f>январь!E51</f>
        <v>0</v>
      </c>
      <c r="E82" s="170">
        <f>февраль!E51</f>
        <v>0</v>
      </c>
      <c r="F82" s="170">
        <f>март!E51</f>
        <v>0</v>
      </c>
      <c r="G82" s="170">
        <f>апрель!E51</f>
        <v>0</v>
      </c>
      <c r="H82" s="112">
        <f>май!E51</f>
        <v>11060.74</v>
      </c>
      <c r="I82" s="112">
        <f>июнь!E51</f>
        <v>11060.74</v>
      </c>
      <c r="J82" s="139">
        <f>июль!E51</f>
        <v>11060.74</v>
      </c>
      <c r="K82" s="139">
        <f>август!E51</f>
        <v>11060.74</v>
      </c>
      <c r="L82" s="139">
        <f>сентябрь!E51</f>
        <v>11060.74</v>
      </c>
      <c r="M82" s="139">
        <f>октябрь!E51</f>
        <v>11060.74</v>
      </c>
      <c r="N82" s="139">
        <f>ноябрь!E51</f>
        <v>11060.74</v>
      </c>
      <c r="O82" s="139">
        <f>декабрь!E51</f>
        <v>11060.74</v>
      </c>
      <c r="P82" s="112">
        <f t="shared" si="9"/>
        <v>88485.92000000001</v>
      </c>
      <c r="Q82" s="139">
        <f>P82-O82</f>
        <v>77425.18000000001</v>
      </c>
      <c r="R82" s="160">
        <f t="shared" si="10"/>
        <v>11060.740000000005</v>
      </c>
      <c r="S82" s="175"/>
    </row>
    <row r="83" spans="1:19" s="176" customFormat="1" ht="14.25">
      <c r="A83" s="138">
        <v>5</v>
      </c>
      <c r="B83" s="163" t="s">
        <v>144</v>
      </c>
      <c r="C83" s="174"/>
      <c r="D83" s="170">
        <f>январь!E52</f>
        <v>0</v>
      </c>
      <c r="E83" s="170">
        <f>февраль!E52</f>
        <v>0</v>
      </c>
      <c r="F83" s="170">
        <f>март!E52</f>
        <v>0</v>
      </c>
      <c r="G83" s="170">
        <f>апрель!E52</f>
        <v>0</v>
      </c>
      <c r="H83" s="112">
        <f>май!E52</f>
        <v>1945.6</v>
      </c>
      <c r="I83" s="112">
        <f>июнь!E52</f>
        <v>1945.6</v>
      </c>
      <c r="J83" s="139">
        <f>июль!E52</f>
        <v>1945.6</v>
      </c>
      <c r="K83" s="139">
        <f>август!E52</f>
        <v>1945.6</v>
      </c>
      <c r="L83" s="139">
        <f>сентябрь!E52</f>
        <v>1945.6</v>
      </c>
      <c r="M83" s="139">
        <f>октябрь!E52</f>
        <v>1945.6</v>
      </c>
      <c r="N83" s="139">
        <f>ноябрь!E52</f>
        <v>1945.6</v>
      </c>
      <c r="O83" s="139">
        <f>декабрь!E52</f>
        <v>1945.6</v>
      </c>
      <c r="P83" s="112">
        <f t="shared" si="9"/>
        <v>15564.800000000001</v>
      </c>
      <c r="Q83" s="139">
        <f>P83-O83</f>
        <v>13619.2</v>
      </c>
      <c r="R83" s="160">
        <f t="shared" si="10"/>
        <v>1945.6000000000004</v>
      </c>
      <c r="S83" s="175"/>
    </row>
    <row r="84" spans="1:19" s="176" customFormat="1" ht="14.25">
      <c r="A84" s="138">
        <v>6</v>
      </c>
      <c r="B84" s="163" t="s">
        <v>145</v>
      </c>
      <c r="C84" s="174"/>
      <c r="D84" s="170">
        <f>январь!E53</f>
        <v>0</v>
      </c>
      <c r="E84" s="170">
        <f>февраль!E53</f>
        <v>0</v>
      </c>
      <c r="F84" s="170">
        <f>март!E53</f>
        <v>0</v>
      </c>
      <c r="G84" s="170">
        <f>апрель!E53</f>
        <v>0</v>
      </c>
      <c r="H84" s="112">
        <f>май!E53</f>
        <v>1021.44</v>
      </c>
      <c r="I84" s="112">
        <f>июнь!E53</f>
        <v>1021.44</v>
      </c>
      <c r="J84" s="139">
        <f>июль!E53</f>
        <v>1021.44</v>
      </c>
      <c r="K84" s="139">
        <f>август!E53</f>
        <v>1021.44</v>
      </c>
      <c r="L84" s="139">
        <f>сентябрь!E53</f>
        <v>1021.44</v>
      </c>
      <c r="M84" s="139">
        <f>октябрь!E53</f>
        <v>1021.44</v>
      </c>
      <c r="N84" s="139">
        <f>ноябрь!E53</f>
        <v>1021.44</v>
      </c>
      <c r="O84" s="139">
        <f>декабрь!E53</f>
        <v>1021.44</v>
      </c>
      <c r="P84" s="112">
        <f t="shared" si="9"/>
        <v>8171.520000000002</v>
      </c>
      <c r="Q84" s="139">
        <f>P84-O84</f>
        <v>7150.080000000002</v>
      </c>
      <c r="R84" s="160">
        <f t="shared" si="10"/>
        <v>1021.4400000000005</v>
      </c>
      <c r="S84" s="175"/>
    </row>
    <row r="85" spans="1:23" s="176" customFormat="1" ht="14.25">
      <c r="A85" s="138">
        <v>7</v>
      </c>
      <c r="B85" s="163" t="s">
        <v>43</v>
      </c>
      <c r="C85" s="174">
        <v>0</v>
      </c>
      <c r="D85" s="170">
        <f>январь!E54</f>
        <v>0</v>
      </c>
      <c r="E85" s="170">
        <f>февраль!E54</f>
        <v>0</v>
      </c>
      <c r="F85" s="170">
        <f>март!E54</f>
        <v>0</v>
      </c>
      <c r="G85" s="170">
        <f>апрель!E54</f>
        <v>0</v>
      </c>
      <c r="H85" s="112">
        <f>май!E54</f>
        <v>0</v>
      </c>
      <c r="I85" s="112">
        <f>июнь!E54</f>
        <v>1483.93</v>
      </c>
      <c r="J85" s="139">
        <f>июль!E54</f>
        <v>1678.47</v>
      </c>
      <c r="K85" s="139">
        <f>август!E54</f>
        <v>1495.15</v>
      </c>
      <c r="L85" s="139">
        <f>сентябрь!E54</f>
        <v>1539.89</v>
      </c>
      <c r="M85" s="139">
        <f>октябрь!E54</f>
        <v>2340.13</v>
      </c>
      <c r="N85" s="139">
        <f>ноябрь!E54</f>
        <v>2165.69</v>
      </c>
      <c r="O85" s="139">
        <f>декабрь!E54</f>
        <v>1668.12</v>
      </c>
      <c r="P85" s="112">
        <f t="shared" si="9"/>
        <v>12371.380000000001</v>
      </c>
      <c r="Q85" s="112">
        <f>P85</f>
        <v>12371.380000000001</v>
      </c>
      <c r="R85" s="160">
        <f t="shared" si="10"/>
        <v>0</v>
      </c>
      <c r="S85" s="175"/>
      <c r="U85" s="175"/>
      <c r="W85" s="111"/>
    </row>
    <row r="86" spans="1:23" s="176" customFormat="1" ht="14.25">
      <c r="A86" s="138">
        <v>8</v>
      </c>
      <c r="B86" s="163" t="s">
        <v>142</v>
      </c>
      <c r="C86" s="170">
        <v>0</v>
      </c>
      <c r="D86" s="170">
        <f aca="true" t="shared" si="16" ref="D86:Q86">D87+D88+D89+D90+D91+D92+D93+D94</f>
        <v>0</v>
      </c>
      <c r="E86" s="170">
        <f t="shared" si="16"/>
        <v>0</v>
      </c>
      <c r="F86" s="170">
        <f t="shared" si="16"/>
        <v>0</v>
      </c>
      <c r="G86" s="170">
        <f t="shared" si="16"/>
        <v>0</v>
      </c>
      <c r="H86" s="170">
        <f t="shared" si="16"/>
        <v>0</v>
      </c>
      <c r="I86" s="170">
        <f t="shared" si="16"/>
        <v>4115</v>
      </c>
      <c r="J86" s="170">
        <f t="shared" si="16"/>
        <v>3352.45</v>
      </c>
      <c r="K86" s="170">
        <f t="shared" si="16"/>
        <v>3838.3300000000004</v>
      </c>
      <c r="L86" s="170">
        <f t="shared" si="16"/>
        <v>3402.25</v>
      </c>
      <c r="M86" s="170">
        <f t="shared" si="16"/>
        <v>2818.01</v>
      </c>
      <c r="N86" s="139">
        <f>ноябрь!E55</f>
        <v>3033.7</v>
      </c>
      <c r="O86" s="170">
        <f t="shared" si="16"/>
        <v>3368.6400000000003</v>
      </c>
      <c r="P86" s="112">
        <f t="shared" si="9"/>
        <v>23928.38</v>
      </c>
      <c r="Q86" s="170">
        <f t="shared" si="16"/>
        <v>23928.38</v>
      </c>
      <c r="R86" s="160">
        <f t="shared" si="10"/>
        <v>0</v>
      </c>
      <c r="S86" s="175"/>
      <c r="U86" s="175"/>
      <c r="W86" s="164"/>
    </row>
    <row r="87" spans="1:23" s="179" customFormat="1" ht="15">
      <c r="A87" s="136"/>
      <c r="B87" s="177" t="s">
        <v>61</v>
      </c>
      <c r="C87" s="118"/>
      <c r="D87" s="166">
        <f>январь!E56</f>
        <v>0</v>
      </c>
      <c r="E87" s="166">
        <f>февраль!E56</f>
        <v>0</v>
      </c>
      <c r="F87" s="166">
        <f>март!E56</f>
        <v>0</v>
      </c>
      <c r="G87" s="166">
        <f>апрель!E56</f>
        <v>0</v>
      </c>
      <c r="H87" s="118">
        <f>май!E56</f>
        <v>0</v>
      </c>
      <c r="I87" s="118">
        <f>июнь!E56</f>
        <v>1326.21</v>
      </c>
      <c r="J87" s="130">
        <f>июль!E56</f>
        <v>1197.62</v>
      </c>
      <c r="K87" s="130">
        <f>август!E56</f>
        <v>0</v>
      </c>
      <c r="L87" s="130">
        <f>сентябрь!E56</f>
        <v>544.59</v>
      </c>
      <c r="M87" s="130">
        <f>октябрь!E56</f>
        <v>569.99</v>
      </c>
      <c r="N87" s="130">
        <f>ноябрь!E56</f>
        <v>468.4</v>
      </c>
      <c r="O87" s="130">
        <f>декабрь!E56</f>
        <v>732.27</v>
      </c>
      <c r="P87" s="118">
        <f t="shared" si="9"/>
        <v>4839.08</v>
      </c>
      <c r="Q87" s="118">
        <f>P87</f>
        <v>4839.08</v>
      </c>
      <c r="R87" s="168">
        <f t="shared" si="10"/>
        <v>0</v>
      </c>
      <c r="S87" s="178"/>
      <c r="U87" s="178"/>
      <c r="W87" s="137"/>
    </row>
    <row r="88" spans="1:23" s="179" customFormat="1" ht="15">
      <c r="A88" s="136"/>
      <c r="B88" s="177" t="s">
        <v>146</v>
      </c>
      <c r="C88" s="118"/>
      <c r="D88" s="166">
        <f>январь!E57</f>
        <v>0</v>
      </c>
      <c r="E88" s="166">
        <f>февраль!E57</f>
        <v>0</v>
      </c>
      <c r="F88" s="166">
        <f>март!E57</f>
        <v>0</v>
      </c>
      <c r="G88" s="166">
        <f>апрель!E57</f>
        <v>0</v>
      </c>
      <c r="H88" s="118">
        <f>май!E57</f>
        <v>0</v>
      </c>
      <c r="I88" s="118">
        <f>июнь!E57</f>
        <v>367.16</v>
      </c>
      <c r="J88" s="130">
        <f>июль!E57</f>
        <v>94.83</v>
      </c>
      <c r="K88" s="130">
        <f>август!E57</f>
        <v>270.58</v>
      </c>
      <c r="L88" s="130">
        <f>сентябрь!E57</f>
        <v>308.94</v>
      </c>
      <c r="M88" s="130">
        <f>октябрь!E57</f>
        <v>464.58</v>
      </c>
      <c r="N88" s="130">
        <f>ноябрь!E57</f>
        <v>302.06</v>
      </c>
      <c r="O88" s="130">
        <f>декабрь!E57</f>
        <v>489.71</v>
      </c>
      <c r="P88" s="118">
        <f t="shared" si="9"/>
        <v>2297.8599999999997</v>
      </c>
      <c r="Q88" s="118">
        <f aca="true" t="shared" si="17" ref="Q88:Q94">P88</f>
        <v>2297.8599999999997</v>
      </c>
      <c r="R88" s="168">
        <f t="shared" si="10"/>
        <v>0</v>
      </c>
      <c r="S88" s="178"/>
      <c r="U88" s="178"/>
      <c r="W88" s="137"/>
    </row>
    <row r="89" spans="1:19" s="179" customFormat="1" ht="30">
      <c r="A89" s="136"/>
      <c r="B89" s="177" t="s">
        <v>63</v>
      </c>
      <c r="C89" s="118"/>
      <c r="D89" s="166">
        <f>январь!E58</f>
        <v>0</v>
      </c>
      <c r="E89" s="166">
        <f>февраль!E58</f>
        <v>0</v>
      </c>
      <c r="F89" s="166">
        <f>март!E58</f>
        <v>0</v>
      </c>
      <c r="G89" s="166">
        <f>апрель!E58</f>
        <v>0</v>
      </c>
      <c r="H89" s="118">
        <f>май!E58</f>
        <v>0</v>
      </c>
      <c r="I89" s="118">
        <f>июнь!E58</f>
        <v>1394.83</v>
      </c>
      <c r="J89" s="130">
        <f>июль!E58</f>
        <v>1028.17</v>
      </c>
      <c r="K89" s="130">
        <f>август!E58</f>
        <v>1775.81</v>
      </c>
      <c r="L89" s="130">
        <f>сентябрь!E58</f>
        <v>1125.33</v>
      </c>
      <c r="M89" s="130">
        <f>октябрь!E58</f>
        <v>775.52</v>
      </c>
      <c r="N89" s="130">
        <f>ноябрь!E58</f>
        <v>896.6099999999999</v>
      </c>
      <c r="O89" s="130">
        <f>декабрь!E58</f>
        <v>844.17</v>
      </c>
      <c r="P89" s="118">
        <f t="shared" si="9"/>
        <v>7840.44</v>
      </c>
      <c r="Q89" s="118">
        <f t="shared" si="17"/>
        <v>7840.44</v>
      </c>
      <c r="R89" s="168">
        <f t="shared" si="10"/>
        <v>0</v>
      </c>
      <c r="S89" s="178"/>
    </row>
    <row r="90" spans="1:20" s="179" customFormat="1" ht="15">
      <c r="A90" s="136"/>
      <c r="B90" s="177" t="s">
        <v>68</v>
      </c>
      <c r="C90" s="118"/>
      <c r="D90" s="166">
        <f>январь!E59</f>
        <v>0</v>
      </c>
      <c r="E90" s="166">
        <f>февраль!E59</f>
        <v>0</v>
      </c>
      <c r="F90" s="166">
        <f>март!E59</f>
        <v>0</v>
      </c>
      <c r="G90" s="166">
        <f>апрель!E59</f>
        <v>0</v>
      </c>
      <c r="H90" s="118">
        <f>май!E59</f>
        <v>0</v>
      </c>
      <c r="I90" s="118">
        <f>июнь!E59</f>
        <v>682.91</v>
      </c>
      <c r="J90" s="130">
        <f>июль!E59</f>
        <v>682.91</v>
      </c>
      <c r="K90" s="130">
        <f>август!E59</f>
        <v>760.53</v>
      </c>
      <c r="L90" s="130">
        <f>сентябрь!E59</f>
        <v>760.53</v>
      </c>
      <c r="M90" s="130">
        <f>октябрь!E59</f>
        <v>760.53</v>
      </c>
      <c r="N90" s="130">
        <f>ноябрь!E59</f>
        <v>760.53</v>
      </c>
      <c r="O90" s="130">
        <f>декабрь!E59</f>
        <v>760.53</v>
      </c>
      <c r="P90" s="118">
        <f t="shared" si="9"/>
        <v>5168.469999999999</v>
      </c>
      <c r="Q90" s="118">
        <f t="shared" si="17"/>
        <v>5168.469999999999</v>
      </c>
      <c r="R90" s="168">
        <f t="shared" si="10"/>
        <v>0</v>
      </c>
      <c r="S90" s="178"/>
      <c r="T90" s="178"/>
    </row>
    <row r="91" spans="1:19" s="179" customFormat="1" ht="15">
      <c r="A91" s="136"/>
      <c r="B91" s="177" t="s">
        <v>73</v>
      </c>
      <c r="C91" s="118"/>
      <c r="D91" s="166">
        <f>январь!E60</f>
        <v>0</v>
      </c>
      <c r="E91" s="166">
        <f>февраль!E60</f>
        <v>0</v>
      </c>
      <c r="F91" s="166">
        <f>март!E60</f>
        <v>0</v>
      </c>
      <c r="G91" s="166">
        <f>апрель!E60</f>
        <v>0</v>
      </c>
      <c r="H91" s="118">
        <f>май!E60</f>
        <v>0</v>
      </c>
      <c r="I91" s="118">
        <f>июнь!E60</f>
        <v>0</v>
      </c>
      <c r="J91" s="130">
        <f>июль!E60</f>
        <v>0</v>
      </c>
      <c r="K91" s="130">
        <f>август!E60</f>
        <v>0</v>
      </c>
      <c r="L91" s="130">
        <f>сентябрь!E60</f>
        <v>0</v>
      </c>
      <c r="M91" s="130">
        <f>октябрь!E60</f>
        <v>0</v>
      </c>
      <c r="N91" s="130">
        <f>ноябрь!E60</f>
        <v>0</v>
      </c>
      <c r="O91" s="130">
        <f>декабрь!E60</f>
        <v>0</v>
      </c>
      <c r="P91" s="118">
        <f t="shared" si="9"/>
        <v>0</v>
      </c>
      <c r="Q91" s="118">
        <f t="shared" si="17"/>
        <v>0</v>
      </c>
      <c r="R91" s="168">
        <f t="shared" si="10"/>
        <v>0</v>
      </c>
      <c r="S91" s="178"/>
    </row>
    <row r="92" spans="1:20" s="179" customFormat="1" ht="15">
      <c r="A92" s="136"/>
      <c r="B92" s="177" t="s">
        <v>71</v>
      </c>
      <c r="C92" s="118"/>
      <c r="D92" s="166">
        <f>январь!E61</f>
        <v>0</v>
      </c>
      <c r="E92" s="166">
        <f>февраль!E61</f>
        <v>0</v>
      </c>
      <c r="F92" s="166">
        <f>март!E61</f>
        <v>0</v>
      </c>
      <c r="G92" s="166">
        <f>апрель!E61</f>
        <v>0</v>
      </c>
      <c r="H92" s="118">
        <f>май!E61</f>
        <v>0</v>
      </c>
      <c r="I92" s="118">
        <f>июнь!E61</f>
        <v>326.33</v>
      </c>
      <c r="J92" s="130">
        <f>июль!E61</f>
        <v>326.33</v>
      </c>
      <c r="K92" s="130">
        <f>август!E61</f>
        <v>983.59</v>
      </c>
      <c r="L92" s="130">
        <f>сентябрь!E61</f>
        <v>604.19</v>
      </c>
      <c r="M92" s="130">
        <f>октябрь!E61</f>
        <v>221.88</v>
      </c>
      <c r="N92" s="130">
        <f>ноябрь!E61</f>
        <v>579.64</v>
      </c>
      <c r="O92" s="130">
        <f>декабрь!E61</f>
        <v>515.26</v>
      </c>
      <c r="P92" s="118">
        <f t="shared" si="9"/>
        <v>3557.2200000000003</v>
      </c>
      <c r="Q92" s="118">
        <f t="shared" si="17"/>
        <v>3557.2200000000003</v>
      </c>
      <c r="R92" s="168">
        <f t="shared" si="10"/>
        <v>0</v>
      </c>
      <c r="S92" s="178"/>
      <c r="T92" s="178"/>
    </row>
    <row r="93" spans="1:20" s="179" customFormat="1" ht="12.75" customHeight="1">
      <c r="A93" s="136"/>
      <c r="B93" s="177" t="s">
        <v>74</v>
      </c>
      <c r="C93" s="118"/>
      <c r="D93" s="166">
        <f>январь!E62</f>
        <v>0</v>
      </c>
      <c r="E93" s="166">
        <f>февраль!E62</f>
        <v>0</v>
      </c>
      <c r="F93" s="166">
        <f>март!E62</f>
        <v>0</v>
      </c>
      <c r="G93" s="166">
        <f>апрель!E62</f>
        <v>0</v>
      </c>
      <c r="H93" s="118">
        <f>май!E62</f>
        <v>0</v>
      </c>
      <c r="I93" s="118">
        <f>июнь!E62</f>
        <v>17.56</v>
      </c>
      <c r="J93" s="130">
        <f>июль!E62</f>
        <v>22.59</v>
      </c>
      <c r="K93" s="130">
        <f>август!E62</f>
        <v>47.82</v>
      </c>
      <c r="L93" s="130">
        <f>сентябрь!E62</f>
        <v>58.67</v>
      </c>
      <c r="M93" s="130">
        <f>октябрь!E62</f>
        <v>25.51</v>
      </c>
      <c r="N93" s="130">
        <f>ноябрь!E62</f>
        <v>26.46</v>
      </c>
      <c r="O93" s="130">
        <f>декабрь!E62</f>
        <v>26.7</v>
      </c>
      <c r="P93" s="118">
        <f t="shared" si="9"/>
        <v>225.30999999999997</v>
      </c>
      <c r="Q93" s="118">
        <f t="shared" si="17"/>
        <v>225.30999999999997</v>
      </c>
      <c r="R93" s="168">
        <f t="shared" si="10"/>
        <v>0</v>
      </c>
      <c r="S93" s="178"/>
      <c r="T93" s="178"/>
    </row>
    <row r="94" spans="1:19" s="179" customFormat="1" ht="15">
      <c r="A94" s="136"/>
      <c r="B94" s="177" t="s">
        <v>75</v>
      </c>
      <c r="C94" s="118"/>
      <c r="D94" s="166">
        <f>январь!E63</f>
        <v>0</v>
      </c>
      <c r="E94" s="166">
        <f>февраль!E63</f>
        <v>0</v>
      </c>
      <c r="F94" s="166">
        <f>март!E63</f>
        <v>0</v>
      </c>
      <c r="G94" s="166">
        <f>апрель!E63</f>
        <v>0</v>
      </c>
      <c r="H94" s="118">
        <f>май!E63</f>
        <v>0</v>
      </c>
      <c r="I94" s="118">
        <f>июнь!E63</f>
        <v>0</v>
      </c>
      <c r="J94" s="130">
        <f>июль!E63</f>
        <v>0</v>
      </c>
      <c r="K94" s="130">
        <f>август!E63</f>
        <v>0</v>
      </c>
      <c r="L94" s="130">
        <f>сентябрь!E63</f>
        <v>0</v>
      </c>
      <c r="M94" s="130">
        <f>октябрь!E63</f>
        <v>0</v>
      </c>
      <c r="N94" s="130">
        <f>ноябрь!E63</f>
        <v>0</v>
      </c>
      <c r="O94" s="130">
        <f>декабрь!E63</f>
        <v>0</v>
      </c>
      <c r="P94" s="118">
        <f t="shared" si="9"/>
        <v>0</v>
      </c>
      <c r="Q94" s="118">
        <f t="shared" si="17"/>
        <v>0</v>
      </c>
      <c r="R94" s="168">
        <f t="shared" si="10"/>
        <v>0</v>
      </c>
      <c r="S94" s="178"/>
    </row>
    <row r="95" spans="1:19" s="189" customFormat="1" ht="17.25" customHeight="1">
      <c r="A95" s="186"/>
      <c r="B95" s="180" t="s">
        <v>54</v>
      </c>
      <c r="C95" s="112"/>
      <c r="D95" s="170">
        <f>январь!E66</f>
        <v>0</v>
      </c>
      <c r="E95" s="193">
        <f>февраль!E66</f>
        <v>0</v>
      </c>
      <c r="F95" s="170">
        <f>март!E66</f>
        <v>0</v>
      </c>
      <c r="G95" s="112">
        <f>апрель!E66</f>
        <v>0</v>
      </c>
      <c r="H95" s="112">
        <f>май!E66</f>
        <v>3890.53</v>
      </c>
      <c r="I95" s="112">
        <f>июнь!E66</f>
        <v>2911.49</v>
      </c>
      <c r="J95" s="112">
        <f>июль!E66</f>
        <v>3771.29</v>
      </c>
      <c r="K95" s="112">
        <f>август!E66</f>
        <v>4129.43</v>
      </c>
      <c r="L95" s="112">
        <f>сентябрь!E66</f>
        <v>3641.1</v>
      </c>
      <c r="M95" s="112">
        <f>октябрь!E66</f>
        <v>4332.57</v>
      </c>
      <c r="N95" s="112">
        <f>ноябрь!E66</f>
        <v>3838.3</v>
      </c>
      <c r="O95" s="112">
        <f>декабрь!E66</f>
        <v>4673.14</v>
      </c>
      <c r="P95" s="112">
        <f t="shared" si="9"/>
        <v>31187.85</v>
      </c>
      <c r="Q95" s="118">
        <f>P95-O95</f>
        <v>26514.71</v>
      </c>
      <c r="R95" s="160">
        <f t="shared" si="10"/>
        <v>4673.139999999999</v>
      </c>
      <c r="S95" s="188"/>
    </row>
    <row r="96" spans="1:21" s="114" customFormat="1" ht="14.25">
      <c r="A96" s="138"/>
      <c r="B96" s="111" t="s">
        <v>147</v>
      </c>
      <c r="C96" s="112">
        <f aca="true" t="shared" si="18" ref="C96:O96">C86+C85+C84+C83+C82+C74+C65+C45+C95</f>
        <v>0</v>
      </c>
      <c r="D96" s="112">
        <f t="shared" si="18"/>
        <v>0</v>
      </c>
      <c r="E96" s="112">
        <f t="shared" si="18"/>
        <v>0</v>
      </c>
      <c r="F96" s="112">
        <f t="shared" si="18"/>
        <v>0</v>
      </c>
      <c r="G96" s="112">
        <f t="shared" si="18"/>
        <v>0</v>
      </c>
      <c r="H96" s="112">
        <f t="shared" si="18"/>
        <v>109169.85999999999</v>
      </c>
      <c r="I96" s="112">
        <f t="shared" si="18"/>
        <v>107585.14</v>
      </c>
      <c r="J96" s="112">
        <f t="shared" si="18"/>
        <v>118179.47</v>
      </c>
      <c r="K96" s="112">
        <f t="shared" si="18"/>
        <v>97893.09</v>
      </c>
      <c r="L96" s="112">
        <f t="shared" si="18"/>
        <v>103093.54000000001</v>
      </c>
      <c r="M96" s="112">
        <f t="shared" si="18"/>
        <v>182063.05</v>
      </c>
      <c r="N96" s="112">
        <f t="shared" si="18"/>
        <v>105252.12</v>
      </c>
      <c r="O96" s="112">
        <f t="shared" si="18"/>
        <v>263039.50000000006</v>
      </c>
      <c r="P96" s="112">
        <f t="shared" si="9"/>
        <v>1086275.77</v>
      </c>
      <c r="Q96" s="112">
        <f>Q86+Q85+Q84+Q83+Q82+Q74+Q65+Q45+Q95</f>
        <v>914320.82</v>
      </c>
      <c r="R96" s="112">
        <f>R86+R85+R84+R83+R82+R74+R65+R45+R95</f>
        <v>278880.7100000001</v>
      </c>
      <c r="S96" s="113"/>
      <c r="U96" s="113" t="e">
        <f>U77-#REF!</f>
        <v>#REF!</v>
      </c>
    </row>
    <row r="97" spans="2:20" s="140" customFormat="1" ht="15">
      <c r="B97" s="140" t="s">
        <v>115</v>
      </c>
      <c r="C97" s="124"/>
      <c r="D97" s="124">
        <f aca="true" t="shared" si="19" ref="D97:Q97">D17-D96</f>
        <v>0</v>
      </c>
      <c r="E97" s="124">
        <f t="shared" si="19"/>
        <v>0</v>
      </c>
      <c r="F97" s="124">
        <f t="shared" si="19"/>
        <v>0</v>
      </c>
      <c r="G97" s="124">
        <f t="shared" si="19"/>
        <v>0</v>
      </c>
      <c r="H97" s="124">
        <f t="shared" si="19"/>
        <v>7242.860000000015</v>
      </c>
      <c r="I97" s="124">
        <f t="shared" si="19"/>
        <v>12911.210000000006</v>
      </c>
      <c r="J97" s="124">
        <f t="shared" si="19"/>
        <v>-1240.6899999999732</v>
      </c>
      <c r="K97" s="124">
        <f t="shared" si="19"/>
        <v>21867.11</v>
      </c>
      <c r="L97" s="124">
        <f t="shared" si="19"/>
        <v>17016.65999999999</v>
      </c>
      <c r="M97" s="124">
        <f t="shared" si="19"/>
        <v>-81112.99999999999</v>
      </c>
      <c r="N97" s="124">
        <f t="shared" si="19"/>
        <v>15095.01000000001</v>
      </c>
      <c r="O97" s="124">
        <f t="shared" si="19"/>
        <v>-150241.82000000007</v>
      </c>
      <c r="P97" s="124">
        <f t="shared" si="19"/>
        <v>-158462.66000000003</v>
      </c>
      <c r="Q97" s="124">
        <f t="shared" si="19"/>
        <v>-249027.18000000017</v>
      </c>
      <c r="R97" s="154">
        <f>C97+P97</f>
        <v>-158462.66000000003</v>
      </c>
      <c r="S97" s="141"/>
      <c r="T97" s="141" t="e">
        <f>S97-#REF!</f>
        <v>#REF!</v>
      </c>
    </row>
    <row r="98" spans="2:19" s="76" customFormat="1" ht="15.75">
      <c r="B98" s="197" t="s">
        <v>101</v>
      </c>
      <c r="C98" s="198"/>
      <c r="D98" s="89"/>
      <c r="E98" s="89"/>
      <c r="F98" s="89"/>
      <c r="G98" s="89"/>
      <c r="H98" s="89"/>
      <c r="I98" s="89"/>
      <c r="J98" s="90"/>
      <c r="K98" s="90"/>
      <c r="L98" s="90"/>
      <c r="M98" s="90"/>
      <c r="N98" s="90"/>
      <c r="O98" s="90"/>
      <c r="P98" s="124"/>
      <c r="Q98" s="90"/>
      <c r="R98" s="154"/>
      <c r="S98" s="80"/>
    </row>
    <row r="99" spans="1:18" ht="15">
      <c r="A99" s="122"/>
      <c r="B99" s="123" t="s">
        <v>55</v>
      </c>
      <c r="C99" s="124"/>
      <c r="D99" s="124">
        <f>январь!E69</f>
        <v>0</v>
      </c>
      <c r="E99" s="124">
        <f>февраль!E69</f>
        <v>0</v>
      </c>
      <c r="F99" s="124">
        <f>март!E69</f>
        <v>0</v>
      </c>
      <c r="G99" s="124">
        <f>апрель!E69</f>
        <v>0</v>
      </c>
      <c r="H99" s="124">
        <f>май!E69</f>
        <v>43119.72</v>
      </c>
      <c r="I99" s="124">
        <f>июнь!E69</f>
        <v>34244.01</v>
      </c>
      <c r="J99" s="125">
        <f>июль!E69</f>
        <v>35457.25</v>
      </c>
      <c r="K99" s="125">
        <f>август!E69</f>
        <v>38745.72</v>
      </c>
      <c r="L99" s="125">
        <f>сентябрь!E69</f>
        <v>45000.02</v>
      </c>
      <c r="M99" s="125">
        <f>октябрь!E69</f>
        <v>56959.57</v>
      </c>
      <c r="N99" s="125">
        <f>ноябрь!E69</f>
        <v>45499.48</v>
      </c>
      <c r="O99" s="125">
        <f>декабрь!E69</f>
        <v>40317.03</v>
      </c>
      <c r="P99" s="124">
        <f t="shared" si="9"/>
        <v>339342.80000000005</v>
      </c>
      <c r="Q99" s="125">
        <f>Q24+Q11</f>
        <v>238758.77999999997</v>
      </c>
      <c r="R99" s="154">
        <f t="shared" si="10"/>
        <v>100584.02000000008</v>
      </c>
    </row>
    <row r="100" spans="1:22" ht="15">
      <c r="A100" s="122"/>
      <c r="B100" s="123" t="s">
        <v>105</v>
      </c>
      <c r="C100" s="124"/>
      <c r="D100" s="124">
        <f>январь!E70</f>
        <v>0</v>
      </c>
      <c r="E100" s="124">
        <f>февраль!E70</f>
        <v>0</v>
      </c>
      <c r="F100" s="124">
        <f>март!E70</f>
        <v>0</v>
      </c>
      <c r="G100" s="124">
        <f>апрель!E70</f>
        <v>0</v>
      </c>
      <c r="H100" s="124">
        <f>май!E70</f>
        <v>19194.08</v>
      </c>
      <c r="I100" s="124">
        <f>июнь!E70</f>
        <v>0</v>
      </c>
      <c r="J100" s="125">
        <f>июль!E70</f>
        <v>0</v>
      </c>
      <c r="K100" s="125">
        <f>август!E70</f>
        <v>0</v>
      </c>
      <c r="L100" s="125">
        <f>сентябрь!E70</f>
        <v>4645.02</v>
      </c>
      <c r="M100" s="125">
        <f>октябрь!E70</f>
        <v>40408.36</v>
      </c>
      <c r="N100" s="125">
        <f>ноябрь!E70</f>
        <v>54366.53</v>
      </c>
      <c r="O100" s="125">
        <f>декабрь!E70</f>
        <v>91454.47</v>
      </c>
      <c r="P100" s="124">
        <f t="shared" si="9"/>
        <v>210068.46000000002</v>
      </c>
      <c r="Q100" s="125">
        <f>Q26</f>
        <v>103750.66</v>
      </c>
      <c r="R100" s="154">
        <f t="shared" si="10"/>
        <v>106317.80000000002</v>
      </c>
      <c r="U100" s="142" t="e">
        <f>#REF!+#REF!</f>
        <v>#REF!</v>
      </c>
      <c r="V100" s="133" t="e">
        <f>U100*5%</f>
        <v>#REF!</v>
      </c>
    </row>
    <row r="101" spans="1:19" ht="15">
      <c r="A101" s="122"/>
      <c r="B101" s="123" t="s">
        <v>57</v>
      </c>
      <c r="C101" s="124"/>
      <c r="D101" s="124">
        <f>январь!E71</f>
        <v>0</v>
      </c>
      <c r="E101" s="124">
        <f>февраль!E71</f>
        <v>0</v>
      </c>
      <c r="F101" s="124">
        <f>март!E71</f>
        <v>0</v>
      </c>
      <c r="G101" s="124">
        <f>апрель!E71</f>
        <v>0</v>
      </c>
      <c r="H101" s="124">
        <f>май!E71</f>
        <v>19873.38</v>
      </c>
      <c r="I101" s="124">
        <f>июнь!E71</f>
        <v>19416.35</v>
      </c>
      <c r="J101" s="125">
        <f>июль!E71</f>
        <v>19831.76</v>
      </c>
      <c r="K101" s="125">
        <f>август!E71</f>
        <v>13157.53</v>
      </c>
      <c r="L101" s="125">
        <f>сентябрь!E71</f>
        <v>21820.67</v>
      </c>
      <c r="M101" s="125">
        <f>октябрь!E71</f>
        <v>24034.04</v>
      </c>
      <c r="N101" s="125">
        <f>ноябрь!E71</f>
        <v>27424.76</v>
      </c>
      <c r="O101" s="125">
        <f>декабрь!E71</f>
        <v>26353.15</v>
      </c>
      <c r="P101" s="124">
        <f t="shared" si="9"/>
        <v>171911.63999999998</v>
      </c>
      <c r="Q101" s="125">
        <f>Q10+Q27</f>
        <v>116624.38</v>
      </c>
      <c r="R101" s="154">
        <f t="shared" si="10"/>
        <v>55287.25999999998</v>
      </c>
      <c r="S101" s="126">
        <f>P100+P101</f>
        <v>381980.1</v>
      </c>
    </row>
    <row r="102" spans="1:18" ht="15">
      <c r="A102" s="122" t="s">
        <v>94</v>
      </c>
      <c r="B102" s="123" t="s">
        <v>110</v>
      </c>
      <c r="C102" s="124"/>
      <c r="D102" s="124">
        <f>январь!E72</f>
        <v>0</v>
      </c>
      <c r="E102" s="124">
        <f>февраль!E72</f>
        <v>0</v>
      </c>
      <c r="F102" s="124">
        <f>март!E72</f>
        <v>0</v>
      </c>
      <c r="G102" s="124">
        <f>апрель!E72</f>
        <v>0</v>
      </c>
      <c r="H102" s="124">
        <f>май!E72</f>
        <v>9800.94</v>
      </c>
      <c r="I102" s="124">
        <f>июнь!E72</f>
        <v>10168.5</v>
      </c>
      <c r="J102" s="125">
        <f>июль!E72</f>
        <v>10627.36</v>
      </c>
      <c r="K102" s="125">
        <f>август!E72</f>
        <v>11873.64</v>
      </c>
      <c r="L102" s="125">
        <f>сентябрь!E72</f>
        <v>11917.8</v>
      </c>
      <c r="M102" s="125">
        <f>октябрь!E72</f>
        <v>11350.92</v>
      </c>
      <c r="N102" s="125">
        <f>ноябрь!E72</f>
        <v>10774</v>
      </c>
      <c r="O102" s="125">
        <f>декабрь!E72</f>
        <v>10175.97</v>
      </c>
      <c r="P102" s="124">
        <f t="shared" si="9"/>
        <v>86689.13</v>
      </c>
      <c r="Q102" s="125">
        <f>Q20</f>
        <v>55666.1</v>
      </c>
      <c r="R102" s="154">
        <f t="shared" si="10"/>
        <v>31023.030000000006</v>
      </c>
    </row>
    <row r="103" spans="1:19" ht="15">
      <c r="A103" s="122"/>
      <c r="B103" s="123" t="s">
        <v>59</v>
      </c>
      <c r="C103" s="124"/>
      <c r="D103" s="124">
        <f>январь!E73</f>
        <v>0</v>
      </c>
      <c r="E103" s="124">
        <f>февраль!E73</f>
        <v>0</v>
      </c>
      <c r="F103" s="124">
        <f>март!E73</f>
        <v>0</v>
      </c>
      <c r="G103" s="124">
        <f>апрель!E73</f>
        <v>0</v>
      </c>
      <c r="H103" s="124">
        <f>май!E73</f>
        <v>12448.71</v>
      </c>
      <c r="I103" s="124">
        <f>июнь!E73</f>
        <v>13585.98</v>
      </c>
      <c r="J103" s="125">
        <f>июль!E73</f>
        <v>11523.58</v>
      </c>
      <c r="K103" s="125">
        <f>август!E73</f>
        <v>11494.71</v>
      </c>
      <c r="L103" s="125">
        <f>сентябрь!E73</f>
        <v>13036.15</v>
      </c>
      <c r="M103" s="125">
        <f>октябрь!E73</f>
        <v>13757.99</v>
      </c>
      <c r="N103" s="125">
        <f>ноябрь!E73</f>
        <v>14152.53</v>
      </c>
      <c r="O103" s="125">
        <f>декабрь!E73</f>
        <v>17997.99</v>
      </c>
      <c r="P103" s="124">
        <f t="shared" si="9"/>
        <v>107997.64</v>
      </c>
      <c r="Q103" s="125">
        <f>Q12+Q22</f>
        <v>64723.310000000005</v>
      </c>
      <c r="R103" s="154">
        <f t="shared" si="10"/>
        <v>43274.329999999994</v>
      </c>
      <c r="S103" s="126">
        <f>P102+P103</f>
        <v>194686.77000000002</v>
      </c>
    </row>
    <row r="104" spans="1:19" s="114" customFormat="1" ht="14.25">
      <c r="A104" s="138"/>
      <c r="B104" s="111" t="s">
        <v>148</v>
      </c>
      <c r="C104" s="112">
        <f aca="true" t="shared" si="20" ref="C104:Q104">SUM(C99:C103)</f>
        <v>0</v>
      </c>
      <c r="D104" s="112">
        <f t="shared" si="20"/>
        <v>0</v>
      </c>
      <c r="E104" s="112">
        <f t="shared" si="20"/>
        <v>0</v>
      </c>
      <c r="F104" s="112">
        <f t="shared" si="20"/>
        <v>0</v>
      </c>
      <c r="G104" s="112">
        <f t="shared" si="20"/>
        <v>0</v>
      </c>
      <c r="H104" s="112">
        <f t="shared" si="20"/>
        <v>104436.83000000002</v>
      </c>
      <c r="I104" s="112">
        <f t="shared" si="20"/>
        <v>77414.84</v>
      </c>
      <c r="J104" s="112">
        <f t="shared" si="20"/>
        <v>77439.95</v>
      </c>
      <c r="K104" s="112">
        <f t="shared" si="20"/>
        <v>75271.6</v>
      </c>
      <c r="L104" s="112">
        <f t="shared" si="20"/>
        <v>96419.65999999999</v>
      </c>
      <c r="M104" s="112">
        <f t="shared" si="20"/>
        <v>146510.88</v>
      </c>
      <c r="N104" s="112">
        <f t="shared" si="20"/>
        <v>152217.30000000002</v>
      </c>
      <c r="O104" s="112">
        <f t="shared" si="20"/>
        <v>186298.61</v>
      </c>
      <c r="P104" s="112">
        <f t="shared" si="20"/>
        <v>916009.67</v>
      </c>
      <c r="Q104" s="112">
        <f t="shared" si="20"/>
        <v>579523.23</v>
      </c>
      <c r="R104" s="160">
        <f t="shared" si="10"/>
        <v>336486.44000000006</v>
      </c>
      <c r="S104" s="113"/>
    </row>
    <row r="105" spans="2:20" s="140" customFormat="1" ht="15">
      <c r="B105" s="140" t="s">
        <v>115</v>
      </c>
      <c r="C105" s="141"/>
      <c r="D105" s="141">
        <f aca="true" t="shared" si="21" ref="D105:Q105">D36-D104</f>
        <v>0</v>
      </c>
      <c r="E105" s="141">
        <f t="shared" si="21"/>
        <v>0</v>
      </c>
      <c r="F105" s="141">
        <f t="shared" si="21"/>
        <v>0</v>
      </c>
      <c r="G105" s="141">
        <f t="shared" si="21"/>
        <v>0</v>
      </c>
      <c r="H105" s="141">
        <f t="shared" si="21"/>
        <v>157029.74</v>
      </c>
      <c r="I105" s="141">
        <f t="shared" si="21"/>
        <v>-158532.49</v>
      </c>
      <c r="J105" s="141">
        <f t="shared" si="21"/>
        <v>21279.329999999987</v>
      </c>
      <c r="K105" s="141">
        <f t="shared" si="21"/>
        <v>-41022.170000000006</v>
      </c>
      <c r="L105" s="141">
        <f t="shared" si="21"/>
        <v>-15371.099999999991</v>
      </c>
      <c r="M105" s="141">
        <f t="shared" si="21"/>
        <v>-22016.009999999995</v>
      </c>
      <c r="N105" s="141">
        <f t="shared" si="21"/>
        <v>-15639.140000000014</v>
      </c>
      <c r="O105" s="141">
        <f t="shared" si="21"/>
        <v>-13229.059999999998</v>
      </c>
      <c r="P105" s="141">
        <f t="shared" si="21"/>
        <v>-87500.90000000002</v>
      </c>
      <c r="Q105" s="141">
        <f t="shared" si="21"/>
        <v>-46951.79999999993</v>
      </c>
      <c r="R105" s="154">
        <f>C105+P105</f>
        <v>-87500.90000000002</v>
      </c>
      <c r="S105" s="141"/>
      <c r="T105" s="141" t="e">
        <f>S105-#REF!</f>
        <v>#REF!</v>
      </c>
    </row>
    <row r="106" spans="1:22" s="114" customFormat="1" ht="14.25">
      <c r="A106" s="138"/>
      <c r="B106" s="111" t="s">
        <v>116</v>
      </c>
      <c r="C106" s="112">
        <f aca="true" t="shared" si="22" ref="C106:Q107">C96+C104</f>
        <v>0</v>
      </c>
      <c r="D106" s="112">
        <f>D96+D104</f>
        <v>0</v>
      </c>
      <c r="E106" s="112">
        <f t="shared" si="22"/>
        <v>0</v>
      </c>
      <c r="F106" s="112">
        <f t="shared" si="22"/>
        <v>0</v>
      </c>
      <c r="G106" s="112">
        <f t="shared" si="22"/>
        <v>0</v>
      </c>
      <c r="H106" s="112">
        <f t="shared" si="22"/>
        <v>213606.69</v>
      </c>
      <c r="I106" s="112">
        <f t="shared" si="22"/>
        <v>184999.97999999998</v>
      </c>
      <c r="J106" s="112">
        <f t="shared" si="22"/>
        <v>195619.41999999998</v>
      </c>
      <c r="K106" s="112">
        <f t="shared" si="22"/>
        <v>173164.69</v>
      </c>
      <c r="L106" s="112">
        <f t="shared" si="22"/>
        <v>199513.2</v>
      </c>
      <c r="M106" s="112">
        <f t="shared" si="22"/>
        <v>328573.93</v>
      </c>
      <c r="N106" s="112">
        <f t="shared" si="22"/>
        <v>257469.42</v>
      </c>
      <c r="O106" s="112">
        <f t="shared" si="22"/>
        <v>449338.11000000004</v>
      </c>
      <c r="P106" s="112">
        <f t="shared" si="22"/>
        <v>2002285.44</v>
      </c>
      <c r="Q106" s="112">
        <f t="shared" si="22"/>
        <v>1493844.0499999998</v>
      </c>
      <c r="R106" s="160">
        <f t="shared" si="10"/>
        <v>508441.39000000013</v>
      </c>
      <c r="S106" s="113"/>
      <c r="V106" s="113">
        <v>1999832.440690475</v>
      </c>
    </row>
    <row r="107" spans="2:20" s="140" customFormat="1" ht="30">
      <c r="B107" s="143" t="s">
        <v>117</v>
      </c>
      <c r="C107" s="144"/>
      <c r="D107" s="144">
        <f t="shared" si="22"/>
        <v>0</v>
      </c>
      <c r="E107" s="144">
        <f t="shared" si="22"/>
        <v>0</v>
      </c>
      <c r="F107" s="144">
        <f t="shared" si="22"/>
        <v>0</v>
      </c>
      <c r="G107" s="144">
        <f t="shared" si="22"/>
        <v>0</v>
      </c>
      <c r="H107" s="144">
        <f t="shared" si="22"/>
        <v>164272.6</v>
      </c>
      <c r="I107" s="144">
        <f t="shared" si="22"/>
        <v>-145621.27999999997</v>
      </c>
      <c r="J107" s="144">
        <f t="shared" si="22"/>
        <v>20038.640000000014</v>
      </c>
      <c r="K107" s="144">
        <f t="shared" si="22"/>
        <v>-19155.060000000005</v>
      </c>
      <c r="L107" s="144">
        <f t="shared" si="22"/>
        <v>1645.5599999999977</v>
      </c>
      <c r="M107" s="144">
        <f t="shared" si="22"/>
        <v>-103129.00999999998</v>
      </c>
      <c r="N107" s="144">
        <f t="shared" si="22"/>
        <v>-544.1300000000047</v>
      </c>
      <c r="O107" s="144">
        <f t="shared" si="22"/>
        <v>-163470.88000000006</v>
      </c>
      <c r="P107" s="144">
        <f>P105+P97</f>
        <v>-245963.56000000006</v>
      </c>
      <c r="Q107" s="144">
        <f t="shared" si="22"/>
        <v>-295978.9800000001</v>
      </c>
      <c r="R107" s="144">
        <f>C107+P107</f>
        <v>-245963.56000000006</v>
      </c>
      <c r="S107" s="141"/>
      <c r="T107" s="141" t="e">
        <f>S107-#REF!</f>
        <v>#REF!</v>
      </c>
    </row>
    <row r="108" spans="2:20" s="140" customFormat="1" ht="15"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1"/>
      <c r="T108" s="141"/>
    </row>
    <row r="109" spans="2:19" ht="12.75">
      <c r="B109" s="127" t="s">
        <v>118</v>
      </c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7"/>
    </row>
    <row r="110" spans="2:19" ht="12.75">
      <c r="B110" s="127" t="s">
        <v>56</v>
      </c>
      <c r="C110" s="126"/>
      <c r="D110" s="126">
        <f aca="true" t="shared" si="23" ref="D110:O110">D100-D30-D26</f>
        <v>0</v>
      </c>
      <c r="E110" s="126">
        <f t="shared" si="23"/>
        <v>0</v>
      </c>
      <c r="F110" s="126">
        <f t="shared" si="23"/>
        <v>0</v>
      </c>
      <c r="G110" s="126">
        <f t="shared" si="23"/>
        <v>0</v>
      </c>
      <c r="H110" s="126">
        <f t="shared" si="23"/>
        <v>-941.2299999999996</v>
      </c>
      <c r="I110" s="126">
        <f t="shared" si="23"/>
        <v>-241.49</v>
      </c>
      <c r="J110" s="126">
        <f t="shared" si="23"/>
        <v>2263.65</v>
      </c>
      <c r="K110" s="126">
        <f t="shared" si="23"/>
        <v>-350</v>
      </c>
      <c r="L110" s="126">
        <f t="shared" si="23"/>
        <v>-247.22999999999956</v>
      </c>
      <c r="M110" s="126">
        <f t="shared" si="23"/>
        <v>-2150.9300000000003</v>
      </c>
      <c r="N110" s="126">
        <f t="shared" si="23"/>
        <v>-2893.6600000000035</v>
      </c>
      <c r="O110" s="126">
        <f t="shared" si="23"/>
        <v>-4626.599999999991</v>
      </c>
      <c r="P110" s="141">
        <f>SUM(D110:O110)</f>
        <v>-9187.489999999994</v>
      </c>
      <c r="Q110" s="141">
        <f>P110/2429.5</f>
        <v>-3.781638197159907</v>
      </c>
      <c r="R110" s="126"/>
      <c r="S110" s="127"/>
    </row>
    <row r="111" spans="2:19" ht="12.75">
      <c r="B111" s="127" t="s">
        <v>109</v>
      </c>
      <c r="C111" s="126"/>
      <c r="D111" s="126">
        <f aca="true" t="shared" si="24" ref="D111:O111">D101-D31-D28-D27</f>
        <v>0</v>
      </c>
      <c r="E111" s="126">
        <f t="shared" si="24"/>
        <v>0</v>
      </c>
      <c r="F111" s="126">
        <f t="shared" si="24"/>
        <v>0</v>
      </c>
      <c r="G111" s="126">
        <f t="shared" si="24"/>
        <v>0</v>
      </c>
      <c r="H111" s="126">
        <f t="shared" si="24"/>
        <v>-750.3299999999981</v>
      </c>
      <c r="I111" s="126">
        <f t="shared" si="24"/>
        <v>-4689.990000000002</v>
      </c>
      <c r="J111" s="126">
        <f t="shared" si="24"/>
        <v>-22914.949999999997</v>
      </c>
      <c r="K111" s="126">
        <f t="shared" si="24"/>
        <v>21429.1</v>
      </c>
      <c r="L111" s="126">
        <f t="shared" si="24"/>
        <v>-1100.640000000003</v>
      </c>
      <c r="M111" s="126">
        <f t="shared" si="24"/>
        <v>932.630000000001</v>
      </c>
      <c r="N111" s="126">
        <f t="shared" si="24"/>
        <v>3962.109999999997</v>
      </c>
      <c r="O111" s="126">
        <f t="shared" si="24"/>
        <v>1842.4500000000007</v>
      </c>
      <c r="P111" s="141">
        <f>SUM(D111:O111)</f>
        <v>-1289.6200000000026</v>
      </c>
      <c r="Q111" s="147"/>
      <c r="R111" s="147"/>
      <c r="S111" s="127"/>
    </row>
    <row r="112" spans="2:19" ht="12.75">
      <c r="B112" s="127" t="s">
        <v>119</v>
      </c>
      <c r="C112" s="126"/>
      <c r="D112" s="126">
        <f aca="true" t="shared" si="25" ref="D112:O112">D102-D32-D21-D20</f>
        <v>0</v>
      </c>
      <c r="E112" s="126">
        <f t="shared" si="25"/>
        <v>0</v>
      </c>
      <c r="F112" s="126">
        <f t="shared" si="25"/>
        <v>0</v>
      </c>
      <c r="G112" s="126">
        <f t="shared" si="25"/>
        <v>0</v>
      </c>
      <c r="H112" s="126">
        <f t="shared" si="25"/>
        <v>29.329999999999927</v>
      </c>
      <c r="I112" s="126">
        <f t="shared" si="25"/>
        <v>-2097.5200000000004</v>
      </c>
      <c r="J112" s="126">
        <f t="shared" si="25"/>
        <v>-477.3199999999997</v>
      </c>
      <c r="K112" s="126">
        <f t="shared" si="25"/>
        <v>7456.36</v>
      </c>
      <c r="L112" s="126">
        <f t="shared" si="25"/>
        <v>-516.6000000000004</v>
      </c>
      <c r="M112" s="126">
        <f t="shared" si="25"/>
        <v>1800.2999999999993</v>
      </c>
      <c r="N112" s="126">
        <f t="shared" si="25"/>
        <v>2383.76</v>
      </c>
      <c r="O112" s="126">
        <f t="shared" si="25"/>
        <v>493.72999999999956</v>
      </c>
      <c r="P112" s="141">
        <f>SUM(D112:O112)</f>
        <v>9072.039999999997</v>
      </c>
      <c r="Q112" s="147"/>
      <c r="R112" s="147"/>
      <c r="S112" s="127"/>
    </row>
    <row r="113" spans="2:19" ht="12.75">
      <c r="B113" s="127" t="s">
        <v>120</v>
      </c>
      <c r="C113" s="126"/>
      <c r="D113" s="126">
        <f aca="true" t="shared" si="26" ref="D113:O113">D103-D33-D23-D22</f>
        <v>0</v>
      </c>
      <c r="E113" s="126">
        <f t="shared" si="26"/>
        <v>0</v>
      </c>
      <c r="F113" s="126">
        <f t="shared" si="26"/>
        <v>0</v>
      </c>
      <c r="G113" s="126">
        <f t="shared" si="26"/>
        <v>0</v>
      </c>
      <c r="H113" s="126">
        <f t="shared" si="26"/>
        <v>1311.0299999999988</v>
      </c>
      <c r="I113" s="126">
        <f t="shared" si="26"/>
        <v>-256.880000000001</v>
      </c>
      <c r="J113" s="126">
        <f t="shared" si="26"/>
        <v>-5680.050000000001</v>
      </c>
      <c r="K113" s="126">
        <f t="shared" si="26"/>
        <v>10820.13</v>
      </c>
      <c r="L113" s="126">
        <f t="shared" si="26"/>
        <v>-441.4899999999998</v>
      </c>
      <c r="M113" s="126">
        <f t="shared" si="26"/>
        <v>2178.49</v>
      </c>
      <c r="N113" s="126">
        <f t="shared" si="26"/>
        <v>3228.99</v>
      </c>
      <c r="O113" s="126">
        <f t="shared" si="26"/>
        <v>5976.980000000001</v>
      </c>
      <c r="P113" s="141">
        <f>SUM(D113:O113)</f>
        <v>17137.199999999997</v>
      </c>
      <c r="Q113" s="147"/>
      <c r="R113" s="147"/>
      <c r="S113" s="127"/>
    </row>
    <row r="114" spans="2:19" ht="12.75">
      <c r="B114" s="127" t="s">
        <v>121</v>
      </c>
      <c r="C114" s="126"/>
      <c r="D114" s="126" t="e">
        <f>D99-#REF!-D25-D24</f>
        <v>#REF!</v>
      </c>
      <c r="E114" s="126" t="e">
        <f>E99-#REF!-E25-E24</f>
        <v>#REF!</v>
      </c>
      <c r="F114" s="126" t="e">
        <f>F99-#REF!-F25-F24</f>
        <v>#REF!</v>
      </c>
      <c r="G114" s="126" t="e">
        <f>G99-#REF!-G25-G24</f>
        <v>#REF!</v>
      </c>
      <c r="H114" s="126" t="e">
        <f>H99-#REF!-H25-H24</f>
        <v>#REF!</v>
      </c>
      <c r="I114" s="126" t="e">
        <f>I99-#REF!-I25-I24</f>
        <v>#REF!</v>
      </c>
      <c r="J114" s="126" t="e">
        <f>J99-#REF!-J25-J24</f>
        <v>#REF!</v>
      </c>
      <c r="K114" s="126" t="e">
        <f>K99-#REF!-K25-K24</f>
        <v>#REF!</v>
      </c>
      <c r="L114" s="126" t="e">
        <f>L99-#REF!-L25-L24</f>
        <v>#REF!</v>
      </c>
      <c r="M114" s="126" t="e">
        <f>M99-#REF!-M25-M24</f>
        <v>#REF!</v>
      </c>
      <c r="N114" s="126" t="e">
        <f>N99-#REF!-N25-N24</f>
        <v>#REF!</v>
      </c>
      <c r="O114" s="126" t="e">
        <f>O99-#REF!-O25-O24</f>
        <v>#REF!</v>
      </c>
      <c r="P114" s="141" t="e">
        <f>SUM(D114:O114)</f>
        <v>#REF!</v>
      </c>
      <c r="Q114" s="147"/>
      <c r="R114" s="147"/>
      <c r="S114" s="127"/>
    </row>
    <row r="116" spans="2:8" ht="12.75">
      <c r="B116" s="127" t="s">
        <v>56</v>
      </c>
      <c r="D116" s="127">
        <v>348.3300000000163</v>
      </c>
      <c r="E116" s="127">
        <v>-8.85000000000582</v>
      </c>
      <c r="F116" s="127">
        <v>-1422.48</v>
      </c>
      <c r="G116" s="127">
        <v>-768.7300000000032</v>
      </c>
      <c r="H116" s="127">
        <v>1073.5</v>
      </c>
    </row>
    <row r="117" spans="2:8" ht="12.75">
      <c r="B117" s="127" t="s">
        <v>109</v>
      </c>
      <c r="D117" s="127">
        <v>434.8799999999974</v>
      </c>
      <c r="E117" s="127">
        <v>-3373.65</v>
      </c>
      <c r="F117" s="127">
        <v>-3076.16</v>
      </c>
      <c r="G117" s="127">
        <v>-6890.56</v>
      </c>
      <c r="H117" s="127">
        <v>-8684.45</v>
      </c>
    </row>
    <row r="118" spans="2:10" ht="12.75">
      <c r="B118" s="127" t="s">
        <v>119</v>
      </c>
      <c r="D118" s="127">
        <v>3046.85</v>
      </c>
      <c r="E118" s="127">
        <v>-1171.77</v>
      </c>
      <c r="F118" s="127">
        <v>-863.77</v>
      </c>
      <c r="G118" s="127">
        <v>-1309.86</v>
      </c>
      <c r="H118" s="127">
        <v>2753.18</v>
      </c>
      <c r="J118" s="127" t="s">
        <v>94</v>
      </c>
    </row>
    <row r="119" spans="2:8" ht="12.75">
      <c r="B119" s="127" t="s">
        <v>120</v>
      </c>
      <c r="D119" s="127">
        <v>2322.44</v>
      </c>
      <c r="E119" s="127">
        <v>-1281.88</v>
      </c>
      <c r="F119" s="127">
        <v>1188.36</v>
      </c>
      <c r="G119" s="127">
        <v>2572.87</v>
      </c>
      <c r="H119" s="127">
        <v>-3296.74</v>
      </c>
    </row>
    <row r="120" spans="2:8" ht="12.75">
      <c r="B120" s="127" t="s">
        <v>121</v>
      </c>
      <c r="D120" s="127">
        <v>2259.84</v>
      </c>
      <c r="E120" s="127">
        <v>-4569.6</v>
      </c>
      <c r="F120" s="127">
        <v>-1044.82</v>
      </c>
      <c r="G120" s="127">
        <v>-3359.22</v>
      </c>
      <c r="H120" s="127">
        <v>-13713.22</v>
      </c>
    </row>
    <row r="122" spans="2:3" ht="12.75">
      <c r="B122" s="127" t="s">
        <v>122</v>
      </c>
      <c r="C122" s="127" t="s">
        <v>123</v>
      </c>
    </row>
    <row r="124" spans="2:3" ht="12.75">
      <c r="B124" s="127" t="s">
        <v>124</v>
      </c>
      <c r="C124" s="127" t="s">
        <v>125</v>
      </c>
    </row>
    <row r="127" spans="2:10" ht="12.75">
      <c r="B127" s="127" t="s">
        <v>105</v>
      </c>
      <c r="J127" s="126">
        <f>P100-P30-P26-S14</f>
        <v>-9187.48999999999</v>
      </c>
    </row>
    <row r="128" ht="12.75">
      <c r="J128" s="148">
        <f>J127/2895.2</f>
        <v>-3.1733524454269104</v>
      </c>
    </row>
    <row r="129" spans="2:10" ht="12.75">
      <c r="B129" s="127" t="s">
        <v>126</v>
      </c>
      <c r="J129" s="126">
        <f>P101-P31-P27</f>
        <v>-1334.500000000029</v>
      </c>
    </row>
  </sheetData>
  <sheetProtection/>
  <mergeCells count="5">
    <mergeCell ref="B98:C98"/>
    <mergeCell ref="B1:R1"/>
    <mergeCell ref="B19:C19"/>
    <mergeCell ref="B42:R42"/>
    <mergeCell ref="B43: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52">
      <selection activeCell="E69" sqref="E69:E74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202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164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165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/>
      <c r="G14" s="23">
        <f t="shared" si="0"/>
        <v>0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/>
      <c r="F16" s="23"/>
      <c r="G16" s="23">
        <f t="shared" si="0"/>
        <v>0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/>
      <c r="F17" s="23"/>
      <c r="G17" s="23">
        <f t="shared" si="0"/>
        <v>0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 t="s">
        <v>163</v>
      </c>
      <c r="C25" s="161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0</v>
      </c>
      <c r="F27" s="172">
        <f>F11+F12+F13+F14+F15+F16+F17+F18+F19+F24+F20+F21+F22+F23</f>
        <v>0</v>
      </c>
      <c r="G27" s="172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/>
      <c r="F32" s="23"/>
      <c r="G32" s="23">
        <f t="shared" si="1"/>
        <v>0</v>
      </c>
      <c r="H32" s="19"/>
    </row>
    <row r="33" spans="1:8" s="2" customFormat="1" ht="15">
      <c r="A33" s="17" t="s">
        <v>35</v>
      </c>
      <c r="B33" s="156" t="s">
        <v>130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36</v>
      </c>
      <c r="B34" s="18" t="s">
        <v>50</v>
      </c>
      <c r="C34" s="15" t="s">
        <v>15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138</v>
      </c>
      <c r="B35" s="18" t="s">
        <v>47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1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0</v>
      </c>
      <c r="F38" s="172">
        <f>F31+F32+F33+F34+F35</f>
        <v>0</v>
      </c>
      <c r="G38" s="172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42">
        <f>SUM(E42:E46)</f>
        <v>0</v>
      </c>
      <c r="F47" s="44">
        <f>SUM(F42:F44)</f>
        <v>0</v>
      </c>
      <c r="G47" s="42">
        <f>SUM(G42:G46)</f>
        <v>0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/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/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/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/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/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0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1:B1"/>
    <mergeCell ref="A3:E3"/>
    <mergeCell ref="A5:H5"/>
    <mergeCell ref="A6:H6"/>
    <mergeCell ref="F50:G50"/>
    <mergeCell ref="A88:B88"/>
    <mergeCell ref="A75:C75"/>
    <mergeCell ref="A81:D81"/>
    <mergeCell ref="E81:G81"/>
    <mergeCell ref="A86:B86"/>
    <mergeCell ref="A67:G67"/>
    <mergeCell ref="A87:B87"/>
    <mergeCell ref="F68:G68"/>
    <mergeCell ref="A38:C38"/>
    <mergeCell ref="A40:H40"/>
    <mergeCell ref="A47:C47"/>
    <mergeCell ref="A49:G49"/>
  </mergeCells>
  <printOptions/>
  <pageMargins left="0.42" right="0.33" top="0.57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2">
      <selection activeCell="E66" sqref="E66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162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166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167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/>
      <c r="G14" s="23">
        <f t="shared" si="0"/>
        <v>0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/>
      <c r="F16" s="23"/>
      <c r="G16" s="23">
        <f t="shared" si="0"/>
        <v>0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/>
      <c r="F17" s="23"/>
      <c r="G17" s="23">
        <f t="shared" si="0"/>
        <v>0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1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0</v>
      </c>
      <c r="F27" s="172">
        <f>F11+F12+F13+F14+F15+F16+F17+F18+F19+F24+F20+F21+F22+F23</f>
        <v>0</v>
      </c>
      <c r="G27" s="172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/>
      <c r="F32" s="23"/>
      <c r="G32" s="23">
        <f t="shared" si="1"/>
        <v>0</v>
      </c>
      <c r="H32" s="19"/>
    </row>
    <row r="33" spans="1:8" s="2" customFormat="1" ht="15">
      <c r="A33" s="17" t="s">
        <v>35</v>
      </c>
      <c r="B33" s="156" t="s">
        <v>130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36</v>
      </c>
      <c r="B34" s="18" t="s">
        <v>50</v>
      </c>
      <c r="C34" s="15" t="s">
        <v>15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138</v>
      </c>
      <c r="B35" s="18" t="s">
        <v>47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1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0</v>
      </c>
      <c r="F38" s="172">
        <f>F31+F32+F33+F34+F35</f>
        <v>0</v>
      </c>
      <c r="G38" s="172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42">
        <f>SUM(E42:E46)</f>
        <v>0</v>
      </c>
      <c r="F47" s="44">
        <f>SUM(F42:F44)</f>
        <v>0</v>
      </c>
      <c r="G47" s="42">
        <f>SUM(G42:G46)</f>
        <v>0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/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/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/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/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/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/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0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</sheetData>
  <sheetProtection/>
  <mergeCells count="17">
    <mergeCell ref="A1:B1"/>
    <mergeCell ref="A3:E3"/>
    <mergeCell ref="A5:H5"/>
    <mergeCell ref="A6:H6"/>
    <mergeCell ref="F68:G68"/>
    <mergeCell ref="E81:G81"/>
    <mergeCell ref="A38:C38"/>
    <mergeCell ref="A40:H40"/>
    <mergeCell ref="A47:C47"/>
    <mergeCell ref="A49:G49"/>
    <mergeCell ref="F50:G50"/>
    <mergeCell ref="A67:G67"/>
    <mergeCell ref="A86:B86"/>
    <mergeCell ref="A87:B87"/>
    <mergeCell ref="A88:B88"/>
    <mergeCell ref="A75:C75"/>
    <mergeCell ref="A81:D81"/>
  </mergeCells>
  <printOptions/>
  <pageMargins left="0.42" right="0.33" top="0.57" bottom="0.5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5">
      <selection activeCell="E66" sqref="E66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162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168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169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/>
      <c r="G14" s="23">
        <f t="shared" si="0"/>
        <v>0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/>
      <c r="F16" s="23"/>
      <c r="G16" s="23">
        <f t="shared" si="0"/>
        <v>0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/>
      <c r="F17" s="23"/>
      <c r="G17" s="23">
        <f t="shared" si="0"/>
        <v>0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1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0</v>
      </c>
      <c r="F27" s="172">
        <f>F11+F12+F13+F14+F15+F16+F17+F18+F19+F24+F20+F21+F22+F23</f>
        <v>0</v>
      </c>
      <c r="G27" s="172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/>
      <c r="F32" s="23"/>
      <c r="G32" s="23">
        <f t="shared" si="1"/>
        <v>0</v>
      </c>
      <c r="H32" s="19"/>
    </row>
    <row r="33" spans="1:10" s="2" customFormat="1" ht="15">
      <c r="A33" s="17" t="s">
        <v>35</v>
      </c>
      <c r="B33" s="156" t="s">
        <v>130</v>
      </c>
      <c r="C33" s="15"/>
      <c r="D33" s="19"/>
      <c r="E33" s="23"/>
      <c r="F33" s="23"/>
      <c r="G33" s="23">
        <f t="shared" si="1"/>
        <v>0</v>
      </c>
      <c r="H33" s="19"/>
      <c r="J33" s="13">
        <f>G31+G32+G33</f>
        <v>0</v>
      </c>
    </row>
    <row r="34" spans="1:8" s="2" customFormat="1" ht="15">
      <c r="A34" s="17" t="s">
        <v>36</v>
      </c>
      <c r="B34" s="18" t="s">
        <v>50</v>
      </c>
      <c r="C34" s="15" t="s">
        <v>15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138</v>
      </c>
      <c r="B35" s="18" t="s">
        <v>47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1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0</v>
      </c>
      <c r="F38" s="172">
        <f>F31+F32+F33+F34+F35</f>
        <v>0</v>
      </c>
      <c r="G38" s="172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42">
        <f>SUM(E42:E46)</f>
        <v>0</v>
      </c>
      <c r="F47" s="44">
        <f>SUM(F42:F44)</f>
        <v>0</v>
      </c>
      <c r="G47" s="42">
        <f>SUM(G42:G46)</f>
        <v>0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/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/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/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/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/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0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</sheetData>
  <sheetProtection/>
  <mergeCells count="17">
    <mergeCell ref="A47:C47"/>
    <mergeCell ref="A49:G49"/>
    <mergeCell ref="F50:G50"/>
    <mergeCell ref="A38:C38"/>
    <mergeCell ref="A40:H40"/>
    <mergeCell ref="A1:B1"/>
    <mergeCell ref="A3:E3"/>
    <mergeCell ref="A5:H5"/>
    <mergeCell ref="A6:H6"/>
    <mergeCell ref="A67:G67"/>
    <mergeCell ref="A86:B86"/>
    <mergeCell ref="A88:B88"/>
    <mergeCell ref="F68:G68"/>
    <mergeCell ref="A75:C75"/>
    <mergeCell ref="A81:D81"/>
    <mergeCell ref="E81:G81"/>
    <mergeCell ref="A87:B87"/>
  </mergeCells>
  <printOptions/>
  <pageMargins left="0.39" right="0.2362204724409449" top="0.6299212598425197" bottom="0.51181102362204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E69" sqref="E69:E73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199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170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171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/>
      <c r="F12" s="23"/>
      <c r="G12" s="23">
        <f t="shared" si="0"/>
        <v>0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/>
      <c r="G14" s="23">
        <f t="shared" si="0"/>
        <v>0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/>
      <c r="F16" s="23"/>
      <c r="G16" s="23">
        <f t="shared" si="0"/>
        <v>0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/>
      <c r="F17" s="23"/>
      <c r="G17" s="23">
        <f t="shared" si="0"/>
        <v>0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1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0</v>
      </c>
      <c r="F27" s="172">
        <f>F11+F12+F13+F14+F15+F16+F17+F18+F19+F24+F20+F21+F22+F23</f>
        <v>0</v>
      </c>
      <c r="G27" s="172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/>
      <c r="F32" s="23"/>
      <c r="G32" s="23">
        <f t="shared" si="1"/>
        <v>0</v>
      </c>
      <c r="H32" s="19"/>
    </row>
    <row r="33" spans="1:8" s="2" customFormat="1" ht="15">
      <c r="A33" s="17" t="s">
        <v>35</v>
      </c>
      <c r="B33" s="156" t="s">
        <v>130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36</v>
      </c>
      <c r="B34" s="18" t="s">
        <v>50</v>
      </c>
      <c r="C34" s="15" t="s">
        <v>15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138</v>
      </c>
      <c r="B35" s="18" t="s">
        <v>47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1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0</v>
      </c>
      <c r="F38" s="172">
        <f>F31+F32+F33+F34+F35</f>
        <v>0</v>
      </c>
      <c r="G38" s="172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42">
        <f>SUM(E42:E46)</f>
        <v>0</v>
      </c>
      <c r="F47" s="44">
        <f>SUM(F42:F44)</f>
        <v>0</v>
      </c>
      <c r="G47" s="42">
        <f>SUM(G42:G46)</f>
        <v>0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/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/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/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/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/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0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36" right="0.17" top="0.39" bottom="0.69" header="0.33" footer="0.3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22">
      <selection activeCell="L41" sqref="L41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199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172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173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>
        <v>12398.3</v>
      </c>
      <c r="F11" s="23">
        <v>440</v>
      </c>
      <c r="G11" s="23">
        <f aca="true" t="shared" si="0" ref="G11:G23">E11+F11</f>
        <v>12838.3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>
        <v>3554.46</v>
      </c>
      <c r="F12" s="23"/>
      <c r="G12" s="23">
        <f t="shared" si="0"/>
        <v>3554.46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/>
      <c r="G14" s="23">
        <f t="shared" si="0"/>
        <v>0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>
        <v>18618.24</v>
      </c>
      <c r="F15" s="23"/>
      <c r="G15" s="23">
        <f t="shared" si="0"/>
        <v>18618.24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>
        <v>10131.18</v>
      </c>
      <c r="F16" s="23"/>
      <c r="G16" s="23">
        <f t="shared" si="0"/>
        <v>10131.18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>
        <v>588.85</v>
      </c>
      <c r="F17" s="23"/>
      <c r="G17" s="23">
        <f t="shared" si="0"/>
        <v>588.85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>
        <v>4687</v>
      </c>
      <c r="F19" s="23"/>
      <c r="G19" s="23">
        <f t="shared" si="0"/>
        <v>4687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>
        <v>2194.1</v>
      </c>
      <c r="F20" s="23"/>
      <c r="G20" s="23">
        <f t="shared" si="0"/>
        <v>2194.1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>
        <v>1874.64</v>
      </c>
      <c r="F22" s="23"/>
      <c r="G22" s="23">
        <f t="shared" si="0"/>
        <v>1874.64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1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54046.77</v>
      </c>
      <c r="F27" s="172">
        <f>F11+F12+F13+F14+F15+F16+F17+F18+F19+F24+F20+F21+F22+F23</f>
        <v>440</v>
      </c>
      <c r="G27" s="172">
        <f>G11+G12+G13+G14+G15+G16+G17+G18+G19+G24+G20+G21+G22+G23</f>
        <v>54486.77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>
        <f>950.44+28004.3</f>
        <v>28954.739999999998</v>
      </c>
      <c r="F31" s="23"/>
      <c r="G31" s="23">
        <f aca="true" t="shared" si="1" ref="G31:G37">E31+F31</f>
        <v>28954.739999999998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>
        <v>3237.61</v>
      </c>
      <c r="F32" s="23"/>
      <c r="G32" s="23">
        <f t="shared" si="1"/>
        <v>3237.61</v>
      </c>
      <c r="H32" s="19"/>
    </row>
    <row r="33" spans="1:8" s="2" customFormat="1" ht="15">
      <c r="A33" s="17" t="s">
        <v>35</v>
      </c>
      <c r="B33" s="156" t="s">
        <v>130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36</v>
      </c>
      <c r="B34" s="18" t="s">
        <v>50</v>
      </c>
      <c r="C34" s="15" t="s">
        <v>15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138</v>
      </c>
      <c r="B35" s="18" t="s">
        <v>47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1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32192.35</v>
      </c>
      <c r="F38" s="172">
        <f>F31+F32+F33+F34+F35</f>
        <v>0</v>
      </c>
      <c r="G38" s="172">
        <f>G31+G32+G33+G34+G35</f>
        <v>32192.35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>
        <v>4202.43</v>
      </c>
      <c r="F42" s="25">
        <v>370</v>
      </c>
      <c r="G42" s="26">
        <f>E42+F42</f>
        <v>4572.43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810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42">
        <f>SUM(E42:E46)</f>
        <v>4202.43</v>
      </c>
      <c r="F47" s="44">
        <f>SUM(F42:F44)</f>
        <v>370</v>
      </c>
      <c r="G47" s="42">
        <f>SUM(G42:G46)</f>
        <v>4572.43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>
        <v>11060.74</v>
      </c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>
        <v>1945.6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>
        <v>1021.44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/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14027.78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>
        <v>3890.53</v>
      </c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>
        <v>43119.72</v>
      </c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>
        <v>19194.08</v>
      </c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>
        <v>19873.38</v>
      </c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>
        <v>9800.94</v>
      </c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>
        <v>12448.71</v>
      </c>
      <c r="F73" s="26"/>
      <c r="G73" s="23"/>
      <c r="I73" s="13">
        <f>E72+E73</f>
        <v>22249.65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104436.83000000002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213606.69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35" right="0.23" top="0.57" bottom="0.58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2">
      <selection activeCell="F27" sqref="F27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2.281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199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174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175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>
        <v>11848.2</v>
      </c>
      <c r="F11" s="23"/>
      <c r="G11" s="23">
        <f aca="true" t="shared" si="0" ref="G11:G23">E11+F11</f>
        <v>11848.2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>
        <v>3385.2</v>
      </c>
      <c r="F12" s="23">
        <v>379</v>
      </c>
      <c r="G12" s="23">
        <f t="shared" si="0"/>
        <v>3764.2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>
        <v>205</v>
      </c>
      <c r="G14" s="23">
        <f t="shared" si="0"/>
        <v>205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>
        <v>18618.24</v>
      </c>
      <c r="F15" s="23"/>
      <c r="G15" s="23">
        <f t="shared" si="0"/>
        <v>18618.24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>
        <v>10131.18</v>
      </c>
      <c r="F16" s="23"/>
      <c r="G16" s="23">
        <f t="shared" si="0"/>
        <v>10131.18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>
        <v>588.85</v>
      </c>
      <c r="F17" s="23"/>
      <c r="G17" s="23">
        <f t="shared" si="0"/>
        <v>588.85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>
        <v>1157.15</v>
      </c>
      <c r="F18" s="23"/>
      <c r="G18" s="23">
        <f t="shared" si="0"/>
        <v>1157.15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>
        <v>4687</v>
      </c>
      <c r="F19" s="23"/>
      <c r="G19" s="23">
        <f t="shared" si="0"/>
        <v>4687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2500</v>
      </c>
      <c r="F24" s="23">
        <f>F25+F26</f>
        <v>0</v>
      </c>
      <c r="G24" s="23">
        <f>G25+G26</f>
        <v>2500</v>
      </c>
      <c r="H24" s="19"/>
    </row>
    <row r="25" spans="1:8" s="4" customFormat="1" ht="15">
      <c r="A25" s="55"/>
      <c r="B25" s="34" t="s">
        <v>160</v>
      </c>
      <c r="C25" s="161"/>
      <c r="D25" s="35"/>
      <c r="E25" s="36">
        <v>2500</v>
      </c>
      <c r="F25" s="36"/>
      <c r="G25" s="36">
        <f>E25+F25</f>
        <v>2500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52915.82</v>
      </c>
      <c r="F27" s="172">
        <f>F11+F12+F13+F14+F15+F16+F17+F18+F19+F24+F20+F21+F22+F23</f>
        <v>584</v>
      </c>
      <c r="G27" s="172">
        <f>G11+G12+G13+G14+G15+G16+G17+G18+G19+G24+G20+G21+G22+G23</f>
        <v>53499.82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>
        <v>18529.43</v>
      </c>
      <c r="F31" s="23"/>
      <c r="G31" s="23">
        <f aca="true" t="shared" si="1" ref="G31:G37">E31+F31</f>
        <v>18529.43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>
        <v>3962.17</v>
      </c>
      <c r="F32" s="23"/>
      <c r="G32" s="23">
        <f t="shared" si="1"/>
        <v>3962.17</v>
      </c>
      <c r="H32" s="19"/>
    </row>
    <row r="33" spans="1:8" s="2" customFormat="1" ht="15">
      <c r="A33" s="17" t="s">
        <v>35</v>
      </c>
      <c r="B33" s="156" t="s">
        <v>130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36</v>
      </c>
      <c r="B34" s="18" t="s">
        <v>50</v>
      </c>
      <c r="C34" s="15" t="s">
        <v>15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138</v>
      </c>
      <c r="B35" s="18" t="s">
        <v>47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1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22491.6</v>
      </c>
      <c r="F38" s="172">
        <f>F31+F32+F33+F34+F35</f>
        <v>0</v>
      </c>
      <c r="G38" s="172">
        <f>G31+G32+G33+G34+G35</f>
        <v>22491.6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>
        <v>2155.52</v>
      </c>
      <c r="F42" s="25"/>
      <c r="G42" s="26">
        <f>E42+F42</f>
        <v>2155.52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 t="s">
        <v>203</v>
      </c>
      <c r="C45" s="15"/>
      <c r="D45" s="19"/>
      <c r="E45" s="23">
        <v>6900</v>
      </c>
      <c r="F45" s="26"/>
      <c r="G45" s="37">
        <f>E45+F45</f>
        <v>6900</v>
      </c>
      <c r="H45" s="19"/>
      <c r="K45" s="12">
        <f>F27+F38+F47</f>
        <v>584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42">
        <f>SUM(E42:E46)</f>
        <v>9055.52</v>
      </c>
      <c r="F47" s="44">
        <f>SUM(F42:F44)</f>
        <v>0</v>
      </c>
      <c r="G47" s="42">
        <f>SUM(G42:G46)</f>
        <v>9055.52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>
        <v>11060.74</v>
      </c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>
        <v>1945.6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>
        <v>1021.44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>
        <v>1483.93</v>
      </c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>
        <f>E56+E57+E58+E59+E60+E61+E62+E63+E64</f>
        <v>4115</v>
      </c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>
        <v>1326.21</v>
      </c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>
        <v>367.16</v>
      </c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>
        <f>637.5+757.33</f>
        <v>1394.83</v>
      </c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>
        <v>682.91</v>
      </c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>
        <v>326.33</v>
      </c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>
        <v>17.56</v>
      </c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19626.71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>
        <v>2911.49</v>
      </c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>
        <v>34244.01</v>
      </c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>
        <v>19416.35</v>
      </c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>
        <v>10168.5</v>
      </c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>
        <v>13585.98</v>
      </c>
      <c r="F73" s="26"/>
      <c r="G73" s="23"/>
      <c r="I73" s="13">
        <f>E72+E73</f>
        <v>23754.48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77414.84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184999.97999999998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28" right="0.35" top="0.34" bottom="0.83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8">
      <selection activeCell="G27" sqref="G27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23" t="s">
        <v>0</v>
      </c>
      <c r="B1" s="223"/>
      <c r="C1" s="1" t="s">
        <v>199</v>
      </c>
      <c r="D1" s="1"/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23" t="s">
        <v>8</v>
      </c>
      <c r="B3" s="223"/>
      <c r="C3" s="223"/>
      <c r="D3" s="223"/>
      <c r="E3" s="223"/>
      <c r="F3" s="3" t="s">
        <v>159</v>
      </c>
      <c r="G3" s="1"/>
    </row>
    <row r="4" s="2" customFormat="1" ht="15">
      <c r="A4" s="53"/>
    </row>
    <row r="5" spans="1:8" s="2" customFormat="1" ht="18.75">
      <c r="A5" s="224" t="s">
        <v>176</v>
      </c>
      <c r="B5" s="224"/>
      <c r="C5" s="224"/>
      <c r="D5" s="224"/>
      <c r="E5" s="224"/>
      <c r="F5" s="224"/>
      <c r="G5" s="224"/>
      <c r="H5" s="224"/>
    </row>
    <row r="6" spans="1:8" s="2" customFormat="1" ht="15">
      <c r="A6" s="213" t="s">
        <v>150</v>
      </c>
      <c r="B6" s="213"/>
      <c r="C6" s="213"/>
      <c r="D6" s="213"/>
      <c r="E6" s="213"/>
      <c r="F6" s="213"/>
      <c r="G6" s="213"/>
      <c r="H6" s="213"/>
    </row>
    <row r="7" spans="1:6" s="2" customFormat="1" ht="15">
      <c r="A7" s="53"/>
      <c r="B7" s="4" t="s">
        <v>2</v>
      </c>
      <c r="C7" s="4"/>
      <c r="D7" s="5" t="s">
        <v>177</v>
      </c>
      <c r="E7" s="4"/>
      <c r="F7" s="4"/>
    </row>
    <row r="8" s="2" customFormat="1" ht="7.5" customHeight="1">
      <c r="A8" s="53"/>
    </row>
    <row r="9" spans="1:9" s="2" customFormat="1" ht="15">
      <c r="A9" s="149" t="s">
        <v>22</v>
      </c>
      <c r="B9" s="149"/>
      <c r="C9" s="149"/>
      <c r="D9" s="149"/>
      <c r="E9" s="149"/>
      <c r="F9" s="149"/>
      <c r="G9" s="149"/>
      <c r="H9" s="190">
        <v>4864</v>
      </c>
      <c r="I9" s="7"/>
    </row>
    <row r="10" spans="1:12" s="2" customFormat="1" ht="37.5" customHeight="1">
      <c r="A10" s="17" t="s">
        <v>3</v>
      </c>
      <c r="B10" s="15" t="s">
        <v>39</v>
      </c>
      <c r="C10" s="15" t="s">
        <v>5</v>
      </c>
      <c r="D10" s="15" t="s">
        <v>6</v>
      </c>
      <c r="E10" s="16" t="s">
        <v>16</v>
      </c>
      <c r="F10" s="16" t="s">
        <v>38</v>
      </c>
      <c r="G10" s="15" t="s">
        <v>17</v>
      </c>
      <c r="H10" s="15" t="s">
        <v>7</v>
      </c>
      <c r="L10" s="6"/>
    </row>
    <row r="11" spans="1:8" s="2" customFormat="1" ht="28.5" customHeight="1">
      <c r="A11" s="17" t="s">
        <v>23</v>
      </c>
      <c r="B11" s="18" t="s">
        <v>13</v>
      </c>
      <c r="C11" s="15" t="s">
        <v>15</v>
      </c>
      <c r="D11" s="19">
        <v>1</v>
      </c>
      <c r="E11" s="23">
        <v>10155.04</v>
      </c>
      <c r="F11" s="23">
        <v>145</v>
      </c>
      <c r="G11" s="23">
        <f aca="true" t="shared" si="0" ref="G11:G23">E11+F11</f>
        <v>10300.04</v>
      </c>
      <c r="H11" s="19"/>
    </row>
    <row r="12" spans="1:8" s="2" customFormat="1" ht="28.5" customHeight="1">
      <c r="A12" s="17" t="s">
        <v>24</v>
      </c>
      <c r="B12" s="18" t="s">
        <v>14</v>
      </c>
      <c r="C12" s="15" t="s">
        <v>15</v>
      </c>
      <c r="D12" s="19">
        <v>1</v>
      </c>
      <c r="E12" s="23">
        <v>3385.2</v>
      </c>
      <c r="F12" s="23">
        <v>193</v>
      </c>
      <c r="G12" s="23">
        <f t="shared" si="0"/>
        <v>3578.2</v>
      </c>
      <c r="H12" s="19"/>
    </row>
    <row r="13" spans="1:8" s="2" customFormat="1" ht="28.5" customHeight="1">
      <c r="A13" s="17" t="s">
        <v>25</v>
      </c>
      <c r="B13" s="18" t="s">
        <v>21</v>
      </c>
      <c r="C13" s="15" t="s">
        <v>15</v>
      </c>
      <c r="D13" s="19">
        <v>1</v>
      </c>
      <c r="E13" s="23"/>
      <c r="F13" s="23"/>
      <c r="G13" s="23">
        <f t="shared" si="0"/>
        <v>0</v>
      </c>
      <c r="H13" s="19"/>
    </row>
    <row r="14" spans="1:8" s="2" customFormat="1" ht="15">
      <c r="A14" s="17" t="s">
        <v>26</v>
      </c>
      <c r="B14" s="156" t="s">
        <v>130</v>
      </c>
      <c r="C14" s="159"/>
      <c r="D14" s="159"/>
      <c r="E14" s="159"/>
      <c r="F14" s="159">
        <v>160</v>
      </c>
      <c r="G14" s="23">
        <f t="shared" si="0"/>
        <v>160</v>
      </c>
      <c r="H14" s="19"/>
    </row>
    <row r="15" spans="1:8" s="2" customFormat="1" ht="15">
      <c r="A15" s="17" t="s">
        <v>27</v>
      </c>
      <c r="B15" s="18" t="s">
        <v>20</v>
      </c>
      <c r="C15" s="15" t="s">
        <v>15</v>
      </c>
      <c r="D15" s="19">
        <v>1</v>
      </c>
      <c r="E15" s="24">
        <v>18618.24</v>
      </c>
      <c r="F15" s="23"/>
      <c r="G15" s="23">
        <f t="shared" si="0"/>
        <v>18618.24</v>
      </c>
      <c r="H15" s="19"/>
    </row>
    <row r="16" spans="1:11" s="2" customFormat="1" ht="15">
      <c r="A16" s="17" t="s">
        <v>28</v>
      </c>
      <c r="B16" s="18" t="s">
        <v>18</v>
      </c>
      <c r="C16" s="15" t="s">
        <v>15</v>
      </c>
      <c r="D16" s="19">
        <v>1</v>
      </c>
      <c r="E16" s="20">
        <v>10131.18</v>
      </c>
      <c r="F16" s="23"/>
      <c r="G16" s="23">
        <f t="shared" si="0"/>
        <v>10131.18</v>
      </c>
      <c r="H16" s="19"/>
      <c r="K16" s="2" t="s">
        <v>94</v>
      </c>
    </row>
    <row r="17" spans="1:12" s="2" customFormat="1" ht="15">
      <c r="A17" s="17" t="s">
        <v>29</v>
      </c>
      <c r="B17" s="18" t="s">
        <v>19</v>
      </c>
      <c r="C17" s="15" t="s">
        <v>15</v>
      </c>
      <c r="D17" s="19">
        <v>1</v>
      </c>
      <c r="E17" s="23">
        <v>643.62</v>
      </c>
      <c r="F17" s="23"/>
      <c r="G17" s="23">
        <f t="shared" si="0"/>
        <v>643.62</v>
      </c>
      <c r="H17" s="19"/>
      <c r="L17" s="2" t="s">
        <v>94</v>
      </c>
    </row>
    <row r="18" spans="1:8" s="2" customFormat="1" ht="15">
      <c r="A18" s="17" t="s">
        <v>30</v>
      </c>
      <c r="B18" s="18" t="s">
        <v>48</v>
      </c>
      <c r="C18" s="15" t="s">
        <v>15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135</v>
      </c>
      <c r="B19" s="18" t="s">
        <v>49</v>
      </c>
      <c r="C19" s="15" t="s">
        <v>15</v>
      </c>
      <c r="D19" s="19">
        <v>1</v>
      </c>
      <c r="E19" s="23">
        <v>4687</v>
      </c>
      <c r="F19" s="23"/>
      <c r="G19" s="23">
        <f t="shared" si="0"/>
        <v>4687</v>
      </c>
      <c r="H19" s="19"/>
    </row>
    <row r="20" spans="1:8" s="2" customFormat="1" ht="15">
      <c r="A20" s="17" t="s">
        <v>136</v>
      </c>
      <c r="B20" s="33" t="s">
        <v>102</v>
      </c>
      <c r="C20" s="15" t="s">
        <v>15</v>
      </c>
      <c r="D20" s="19">
        <v>1</v>
      </c>
      <c r="E20" s="23">
        <v>276.15</v>
      </c>
      <c r="F20" s="23"/>
      <c r="G20" s="23">
        <f t="shared" si="0"/>
        <v>276.15</v>
      </c>
      <c r="H20" s="19"/>
    </row>
    <row r="21" spans="1:8" s="2" customFormat="1" ht="15">
      <c r="A21" s="17" t="s">
        <v>188</v>
      </c>
      <c r="B21" s="33" t="s">
        <v>103</v>
      </c>
      <c r="C21" s="15" t="s">
        <v>15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189</v>
      </c>
      <c r="B22" s="33" t="s">
        <v>106</v>
      </c>
      <c r="C22" s="15" t="s">
        <v>15</v>
      </c>
      <c r="D22" s="19">
        <v>1</v>
      </c>
      <c r="E22" s="23">
        <v>-1057.1</v>
      </c>
      <c r="F22" s="23"/>
      <c r="G22" s="23">
        <f t="shared" si="0"/>
        <v>-1057.1</v>
      </c>
      <c r="H22" s="19"/>
    </row>
    <row r="23" spans="1:8" s="2" customFormat="1" ht="15">
      <c r="A23" s="17" t="s">
        <v>190</v>
      </c>
      <c r="B23" s="33" t="s">
        <v>104</v>
      </c>
      <c r="C23" s="15" t="s">
        <v>15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191</v>
      </c>
      <c r="B24" s="18" t="s">
        <v>47</v>
      </c>
      <c r="C24" s="15"/>
      <c r="D24" s="19"/>
      <c r="E24" s="23">
        <f>E25+E26</f>
        <v>2800</v>
      </c>
      <c r="F24" s="23">
        <f>F25+F26</f>
        <v>0</v>
      </c>
      <c r="G24" s="23">
        <f>G25+G26</f>
        <v>2800</v>
      </c>
      <c r="H24" s="19"/>
    </row>
    <row r="25" spans="1:8" s="4" customFormat="1" ht="15">
      <c r="A25" s="55"/>
      <c r="B25" s="34" t="s">
        <v>160</v>
      </c>
      <c r="C25" s="161"/>
      <c r="D25" s="35"/>
      <c r="E25" s="36">
        <v>2800</v>
      </c>
      <c r="F25" s="36"/>
      <c r="G25" s="36">
        <f>E25+F25</f>
        <v>2800</v>
      </c>
      <c r="H25" s="35"/>
    </row>
    <row r="26" spans="1:8" s="4" customFormat="1" ht="15">
      <c r="A26" s="55"/>
      <c r="B26" s="34"/>
      <c r="C26" s="161" t="s">
        <v>9</v>
      </c>
      <c r="D26" s="35"/>
      <c r="E26" s="162"/>
      <c r="F26" s="36"/>
      <c r="G26" s="36">
        <f>E26+F26</f>
        <v>0</v>
      </c>
      <c r="H26" s="35"/>
    </row>
    <row r="27" spans="1:8" s="2" customFormat="1" ht="17.25" customHeight="1">
      <c r="A27" s="61" t="s">
        <v>32</v>
      </c>
      <c r="B27" s="62"/>
      <c r="C27" s="171"/>
      <c r="D27" s="135"/>
      <c r="E27" s="172">
        <f>E11+E12+E13+E14+E15+E16+E17+E18+E19+E24+E20+E21+E22+E23</f>
        <v>49639.33000000001</v>
      </c>
      <c r="F27" s="172">
        <f>F11+F12+F13+F14+F15+F16+F17+F18+F19+F24+F20+F21+F22+F23</f>
        <v>498</v>
      </c>
      <c r="G27" s="172">
        <f>G11+G12+G13+G14+G15+G16+G17+G18+G19+G24+G20+G21+G22+G23</f>
        <v>50137.33000000001</v>
      </c>
      <c r="H27" s="41"/>
    </row>
    <row r="28" s="2" customFormat="1" ht="8.25" customHeight="1">
      <c r="A28" s="53"/>
    </row>
    <row r="29" spans="1:8" s="2" customFormat="1" ht="15">
      <c r="A29" s="149" t="s">
        <v>31</v>
      </c>
      <c r="B29" s="149"/>
      <c r="C29" s="149"/>
      <c r="D29" s="149"/>
      <c r="E29" s="149"/>
      <c r="F29" s="149"/>
      <c r="G29" s="149"/>
      <c r="H29" s="149"/>
    </row>
    <row r="30" spans="1:8" s="2" customFormat="1" ht="36.75" customHeight="1">
      <c r="A30" s="17" t="s">
        <v>3</v>
      </c>
      <c r="B30" s="15" t="s">
        <v>39</v>
      </c>
      <c r="C30" s="15" t="s">
        <v>5</v>
      </c>
      <c r="D30" s="15" t="s">
        <v>6</v>
      </c>
      <c r="E30" s="16" t="s">
        <v>16</v>
      </c>
      <c r="F30" s="16" t="s">
        <v>38</v>
      </c>
      <c r="G30" s="15" t="s">
        <v>17</v>
      </c>
      <c r="H30" s="15" t="s">
        <v>7</v>
      </c>
    </row>
    <row r="31" spans="1:8" s="2" customFormat="1" ht="25.5" customHeight="1">
      <c r="A31" s="17" t="s">
        <v>33</v>
      </c>
      <c r="B31" s="18" t="s">
        <v>151</v>
      </c>
      <c r="C31" s="15" t="s">
        <v>15</v>
      </c>
      <c r="D31" s="19">
        <v>1</v>
      </c>
      <c r="E31" s="23">
        <v>15453.69</v>
      </c>
      <c r="F31" s="23">
        <v>20463</v>
      </c>
      <c r="G31" s="23">
        <f aca="true" t="shared" si="1" ref="G31:G37">E31+F31</f>
        <v>35916.69</v>
      </c>
      <c r="H31" s="19"/>
    </row>
    <row r="32" spans="1:8" s="2" customFormat="1" ht="26.25" customHeight="1">
      <c r="A32" s="17" t="s">
        <v>34</v>
      </c>
      <c r="B32" s="18" t="s">
        <v>152</v>
      </c>
      <c r="C32" s="15" t="s">
        <v>15</v>
      </c>
      <c r="D32" s="19">
        <v>1</v>
      </c>
      <c r="E32" s="23">
        <v>6348.02</v>
      </c>
      <c r="F32" s="23">
        <v>861</v>
      </c>
      <c r="G32" s="23">
        <f t="shared" si="1"/>
        <v>7209.02</v>
      </c>
      <c r="H32" s="19"/>
    </row>
    <row r="33" spans="1:8" s="2" customFormat="1" ht="15">
      <c r="A33" s="17" t="s">
        <v>35</v>
      </c>
      <c r="B33" s="156" t="s">
        <v>130</v>
      </c>
      <c r="C33" s="15"/>
      <c r="D33" s="19"/>
      <c r="E33" s="23"/>
      <c r="F33" s="23">
        <v>60</v>
      </c>
      <c r="G33" s="23">
        <f t="shared" si="1"/>
        <v>60</v>
      </c>
      <c r="H33" s="19"/>
    </row>
    <row r="34" spans="1:8" s="2" customFormat="1" ht="15">
      <c r="A34" s="17" t="s">
        <v>36</v>
      </c>
      <c r="B34" s="18" t="s">
        <v>50</v>
      </c>
      <c r="C34" s="15" t="s">
        <v>15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138</v>
      </c>
      <c r="B35" s="18" t="s">
        <v>47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1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1"/>
      <c r="D37" s="35"/>
      <c r="E37" s="36"/>
      <c r="F37" s="36"/>
      <c r="G37" s="36">
        <f t="shared" si="1"/>
        <v>0</v>
      </c>
      <c r="H37" s="35"/>
      <c r="I37" s="4" t="s">
        <v>94</v>
      </c>
    </row>
    <row r="38" spans="1:8" s="2" customFormat="1" ht="15">
      <c r="A38" s="204" t="s">
        <v>10</v>
      </c>
      <c r="B38" s="205"/>
      <c r="C38" s="206"/>
      <c r="D38" s="41"/>
      <c r="E38" s="172">
        <f>E31+E32+E33+E34+E35</f>
        <v>21801.71</v>
      </c>
      <c r="F38" s="172">
        <f>F31+F32+F33+F34+F35</f>
        <v>21384</v>
      </c>
      <c r="G38" s="172">
        <f>G31+G32+G33+G34+G35</f>
        <v>43185.71000000001</v>
      </c>
      <c r="H38" s="41"/>
    </row>
    <row r="39" s="2" customFormat="1" ht="9.75" customHeight="1">
      <c r="A39" s="53"/>
    </row>
    <row r="40" spans="1:8" s="2" customFormat="1" ht="15">
      <c r="A40" s="207" t="s">
        <v>37</v>
      </c>
      <c r="B40" s="207"/>
      <c r="C40" s="207"/>
      <c r="D40" s="207"/>
      <c r="E40" s="207"/>
      <c r="F40" s="207"/>
      <c r="G40" s="207"/>
      <c r="H40" s="207"/>
    </row>
    <row r="41" spans="1:8" s="2" customFormat="1" ht="36" customHeight="1">
      <c r="A41" s="17" t="s">
        <v>3</v>
      </c>
      <c r="B41" s="15" t="s">
        <v>39</v>
      </c>
      <c r="C41" s="15" t="s">
        <v>5</v>
      </c>
      <c r="D41" s="15" t="s">
        <v>6</v>
      </c>
      <c r="E41" s="16" t="s">
        <v>16</v>
      </c>
      <c r="F41" s="16" t="s">
        <v>38</v>
      </c>
      <c r="G41" s="15" t="s">
        <v>17</v>
      </c>
      <c r="H41" s="15" t="s">
        <v>7</v>
      </c>
    </row>
    <row r="42" spans="1:8" s="2" customFormat="1" ht="26.25" customHeight="1">
      <c r="A42" s="17" t="s">
        <v>41</v>
      </c>
      <c r="B42" s="18" t="s">
        <v>154</v>
      </c>
      <c r="C42" s="15" t="s">
        <v>15</v>
      </c>
      <c r="D42" s="15">
        <v>1</v>
      </c>
      <c r="E42" s="25">
        <v>2026.44</v>
      </c>
      <c r="F42" s="25"/>
      <c r="G42" s="26">
        <f>E42+F42</f>
        <v>2026.44</v>
      </c>
      <c r="H42" s="19"/>
    </row>
    <row r="43" spans="1:8" s="2" customFormat="1" ht="15">
      <c r="A43" s="17"/>
      <c r="B43" s="156" t="s">
        <v>130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42</v>
      </c>
      <c r="B44" s="18" t="s">
        <v>47</v>
      </c>
      <c r="C44" s="15"/>
      <c r="D44" s="15"/>
      <c r="E44" s="25"/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21882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08" t="s">
        <v>40</v>
      </c>
      <c r="B47" s="209"/>
      <c r="C47" s="210"/>
      <c r="D47" s="41"/>
      <c r="E47" s="42">
        <f>SUM(E42:E46)</f>
        <v>2026.44</v>
      </c>
      <c r="F47" s="44">
        <f>SUM(F42:F44)</f>
        <v>0</v>
      </c>
      <c r="G47" s="42">
        <f>SUM(G42:G46)</f>
        <v>2026.44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7" t="s">
        <v>155</v>
      </c>
      <c r="B49" s="207"/>
      <c r="C49" s="207"/>
      <c r="D49" s="207"/>
      <c r="E49" s="207"/>
      <c r="F49" s="207"/>
      <c r="G49" s="207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44</v>
      </c>
      <c r="F50" s="211" t="s">
        <v>45</v>
      </c>
      <c r="G50" s="212"/>
    </row>
    <row r="51" spans="1:7" s="2" customFormat="1" ht="25.5" customHeight="1">
      <c r="A51" s="17" t="s">
        <v>64</v>
      </c>
      <c r="B51" s="27" t="s">
        <v>153</v>
      </c>
      <c r="C51" s="29" t="s">
        <v>15</v>
      </c>
      <c r="D51" s="28">
        <v>1</v>
      </c>
      <c r="E51" s="30">
        <v>11060.74</v>
      </c>
      <c r="F51" s="30"/>
      <c r="G51" s="30"/>
    </row>
    <row r="52" spans="1:7" s="2" customFormat="1" ht="15">
      <c r="A52" s="17" t="s">
        <v>65</v>
      </c>
      <c r="B52" s="28" t="s">
        <v>51</v>
      </c>
      <c r="C52" s="29" t="s">
        <v>15</v>
      </c>
      <c r="D52" s="28">
        <v>1</v>
      </c>
      <c r="E52" s="30">
        <v>1945.6</v>
      </c>
      <c r="F52" s="30"/>
      <c r="G52" s="30"/>
    </row>
    <row r="53" spans="1:7" s="2" customFormat="1" ht="15">
      <c r="A53" s="17" t="s">
        <v>66</v>
      </c>
      <c r="B53" s="28" t="s">
        <v>52</v>
      </c>
      <c r="C53" s="29" t="s">
        <v>15</v>
      </c>
      <c r="D53" s="28">
        <v>1</v>
      </c>
      <c r="E53" s="30">
        <v>1021.44</v>
      </c>
      <c r="F53" s="30"/>
      <c r="G53" s="30"/>
    </row>
    <row r="54" spans="1:7" s="2" customFormat="1" ht="15">
      <c r="A54" s="17" t="s">
        <v>67</v>
      </c>
      <c r="B54" s="28" t="s">
        <v>53</v>
      </c>
      <c r="C54" s="29" t="s">
        <v>15</v>
      </c>
      <c r="D54" s="28">
        <v>1</v>
      </c>
      <c r="E54" s="30">
        <v>1678.47</v>
      </c>
      <c r="F54" s="30"/>
      <c r="G54" s="30"/>
    </row>
    <row r="55" spans="1:7" s="2" customFormat="1" ht="15">
      <c r="A55" s="17" t="s">
        <v>69</v>
      </c>
      <c r="B55" s="18" t="s">
        <v>72</v>
      </c>
      <c r="C55" s="29" t="s">
        <v>15</v>
      </c>
      <c r="D55" s="28">
        <v>1</v>
      </c>
      <c r="E55" s="30">
        <f>E56+E57+E58+E59+E60+E61+E62+E63+E64</f>
        <v>3352.45</v>
      </c>
      <c r="F55" s="30"/>
      <c r="G55" s="30"/>
    </row>
    <row r="56" spans="1:7" s="4" customFormat="1" ht="15">
      <c r="A56" s="55"/>
      <c r="B56" s="34" t="s">
        <v>61</v>
      </c>
      <c r="C56" s="29" t="s">
        <v>15</v>
      </c>
      <c r="D56" s="28">
        <v>1</v>
      </c>
      <c r="E56" s="36">
        <v>1197.62</v>
      </c>
      <c r="F56" s="37"/>
      <c r="G56" s="36"/>
    </row>
    <row r="57" spans="1:11" s="4" customFormat="1" ht="15">
      <c r="A57" s="55"/>
      <c r="B57" s="34" t="s">
        <v>62</v>
      </c>
      <c r="C57" s="29" t="s">
        <v>15</v>
      </c>
      <c r="D57" s="28">
        <v>1</v>
      </c>
      <c r="E57" s="36">
        <v>94.83</v>
      </c>
      <c r="F57" s="37"/>
      <c r="G57" s="36"/>
      <c r="J57" s="38"/>
      <c r="K57" s="39"/>
    </row>
    <row r="58" spans="1:7" s="4" customFormat="1" ht="24.75">
      <c r="A58" s="55"/>
      <c r="B58" s="34" t="s">
        <v>63</v>
      </c>
      <c r="C58" s="29" t="s">
        <v>15</v>
      </c>
      <c r="D58" s="28">
        <v>1</v>
      </c>
      <c r="E58" s="36">
        <f>757.32+270.85</f>
        <v>1028.17</v>
      </c>
      <c r="F58" s="37"/>
      <c r="G58" s="36"/>
    </row>
    <row r="59" spans="1:7" s="4" customFormat="1" ht="15">
      <c r="A59" s="55"/>
      <c r="B59" s="34" t="s">
        <v>68</v>
      </c>
      <c r="C59" s="29" t="s">
        <v>15</v>
      </c>
      <c r="D59" s="28">
        <v>1</v>
      </c>
      <c r="E59" s="35">
        <v>682.91</v>
      </c>
      <c r="F59" s="40"/>
      <c r="G59" s="35"/>
    </row>
    <row r="60" spans="1:7" s="4" customFormat="1" ht="15">
      <c r="A60" s="55"/>
      <c r="B60" s="34" t="s">
        <v>73</v>
      </c>
      <c r="C60" s="29" t="s">
        <v>15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71</v>
      </c>
      <c r="C61" s="29" t="s">
        <v>15</v>
      </c>
      <c r="D61" s="28">
        <v>1</v>
      </c>
      <c r="E61" s="35">
        <v>326.33</v>
      </c>
      <c r="F61" s="40"/>
      <c r="G61" s="35"/>
    </row>
    <row r="62" spans="1:7" s="4" customFormat="1" ht="15">
      <c r="A62" s="55"/>
      <c r="B62" s="34" t="s">
        <v>74</v>
      </c>
      <c r="C62" s="29" t="s">
        <v>15</v>
      </c>
      <c r="D62" s="28">
        <v>1</v>
      </c>
      <c r="E62" s="35">
        <v>22.59</v>
      </c>
      <c r="F62" s="40"/>
      <c r="G62" s="35"/>
    </row>
    <row r="63" spans="1:7" s="4" customFormat="1" ht="15">
      <c r="A63" s="55"/>
      <c r="B63" s="34" t="s">
        <v>75</v>
      </c>
      <c r="C63" s="29" t="s">
        <v>15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156</v>
      </c>
      <c r="B65" s="182"/>
      <c r="C65" s="183"/>
      <c r="D65" s="41"/>
      <c r="E65" s="42">
        <f>E51+E52+E53+E54+E55</f>
        <v>19058.7</v>
      </c>
      <c r="F65" s="43"/>
      <c r="G65" s="41"/>
    </row>
    <row r="66" spans="1:7" s="52" customFormat="1" ht="25.5">
      <c r="A66" s="56" t="s">
        <v>157</v>
      </c>
      <c r="B66" s="47" t="s">
        <v>54</v>
      </c>
      <c r="C66" s="48" t="s">
        <v>15</v>
      </c>
      <c r="D66" s="49">
        <v>1</v>
      </c>
      <c r="E66" s="51">
        <v>3771.29</v>
      </c>
      <c r="F66" s="50"/>
      <c r="G66" s="51"/>
    </row>
    <row r="67" spans="1:7" s="46" customFormat="1" ht="15" customHeight="1">
      <c r="A67" s="220" t="s">
        <v>158</v>
      </c>
      <c r="B67" s="221"/>
      <c r="C67" s="221"/>
      <c r="D67" s="221"/>
      <c r="E67" s="221"/>
      <c r="F67" s="221"/>
      <c r="G67" s="222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44</v>
      </c>
      <c r="F68" s="211" t="s">
        <v>45</v>
      </c>
      <c r="G68" s="212"/>
    </row>
    <row r="69" spans="1:7" s="2" customFormat="1" ht="25.5" customHeight="1">
      <c r="A69" s="17"/>
      <c r="B69" s="33" t="s">
        <v>55</v>
      </c>
      <c r="C69" s="29" t="s">
        <v>15</v>
      </c>
      <c r="D69" s="28">
        <v>1</v>
      </c>
      <c r="E69" s="30">
        <v>35457.25</v>
      </c>
      <c r="F69" s="30"/>
      <c r="G69" s="30"/>
    </row>
    <row r="70" spans="1:7" s="2" customFormat="1" ht="15">
      <c r="A70" s="17"/>
      <c r="B70" s="33" t="s">
        <v>56</v>
      </c>
      <c r="C70" s="29" t="s">
        <v>15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57</v>
      </c>
      <c r="C71" s="29" t="s">
        <v>15</v>
      </c>
      <c r="D71" s="28">
        <v>1</v>
      </c>
      <c r="E71" s="30">
        <v>19831.76</v>
      </c>
      <c r="F71" s="30"/>
      <c r="G71" s="30"/>
    </row>
    <row r="72" spans="1:7" s="2" customFormat="1" ht="15">
      <c r="A72" s="17"/>
      <c r="B72" s="33" t="s">
        <v>58</v>
      </c>
      <c r="C72" s="29" t="s">
        <v>15</v>
      </c>
      <c r="D72" s="28">
        <v>1</v>
      </c>
      <c r="E72" s="30">
        <v>10627.36</v>
      </c>
      <c r="F72" s="30"/>
      <c r="G72" s="30"/>
    </row>
    <row r="73" spans="1:9" s="2" customFormat="1" ht="15">
      <c r="A73" s="17"/>
      <c r="B73" s="33" t="s">
        <v>59</v>
      </c>
      <c r="C73" s="29" t="s">
        <v>15</v>
      </c>
      <c r="D73" s="19">
        <v>1</v>
      </c>
      <c r="E73" s="30">
        <v>11523.58</v>
      </c>
      <c r="F73" s="26"/>
      <c r="G73" s="23"/>
      <c r="I73" s="13">
        <f>E72+E73</f>
        <v>22150.940000000002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4" t="s">
        <v>60</v>
      </c>
      <c r="B75" s="215"/>
      <c r="C75" s="216"/>
      <c r="D75" s="19"/>
      <c r="E75" s="30">
        <f>SUM(E69:E74)</f>
        <v>77439.95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7" t="s">
        <v>11</v>
      </c>
      <c r="B81" s="217"/>
      <c r="C81" s="217"/>
      <c r="D81" s="217"/>
      <c r="E81" s="218">
        <f>G27+G38+G47+E65+E66+E75</f>
        <v>195619.41999999998</v>
      </c>
      <c r="F81" s="218"/>
      <c r="G81" s="218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19" t="s">
        <v>46</v>
      </c>
      <c r="B86" s="219"/>
      <c r="E86" s="2" t="s">
        <v>12</v>
      </c>
    </row>
    <row r="87" spans="1:5" s="2" customFormat="1" ht="15">
      <c r="A87" s="219" t="s">
        <v>1</v>
      </c>
      <c r="B87" s="219"/>
      <c r="E87" s="2" t="s">
        <v>199</v>
      </c>
    </row>
    <row r="88" spans="1:5" s="2" customFormat="1" ht="30" customHeight="1">
      <c r="A88" s="213" t="s">
        <v>70</v>
      </c>
      <c r="B88" s="213"/>
      <c r="C88" s="22"/>
      <c r="E88" s="2" t="s">
        <v>200</v>
      </c>
    </row>
    <row r="89" s="2" customFormat="1" ht="15">
      <c r="A89" s="53"/>
    </row>
    <row r="90" s="2" customFormat="1" ht="15">
      <c r="A90" s="53"/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28" right="0.28" top="0.53" bottom="0.6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2018-04-09T03:43:29Z</cp:lastPrinted>
  <dcterms:created xsi:type="dcterms:W3CDTF">2011-02-12T11:02:58Z</dcterms:created>
  <dcterms:modified xsi:type="dcterms:W3CDTF">2019-02-20T06:20:38Z</dcterms:modified>
  <cp:category/>
  <cp:version/>
  <cp:contentType/>
  <cp:contentStatus/>
</cp:coreProperties>
</file>