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ФЭУ_2\ЕИАС_2020\ГЭС\"/>
    </mc:Choice>
  </mc:AlternateContent>
  <bookViews>
    <workbookView xWindow="-15" yWindow="45" windowWidth="14520" windowHeight="12795" activeTab="10"/>
  </bookViews>
  <sheets>
    <sheet name="Январь" sheetId="4" r:id="rId1"/>
    <sheet name="Февраль" sheetId="5" r:id="rId2"/>
    <sheet name="Март" sheetId="6" r:id="rId3"/>
    <sheet name="Апрель" sheetId="7" r:id="rId4"/>
    <sheet name="Май" sheetId="8" r:id="rId5"/>
    <sheet name="Июнь" sheetId="9" r:id="rId6"/>
    <sheet name="Июль" sheetId="10" r:id="rId7"/>
    <sheet name="Август" sheetId="11" r:id="rId8"/>
    <sheet name="Сентябрь" sheetId="12" r:id="rId9"/>
    <sheet name="Октябрь" sheetId="13" r:id="rId10"/>
    <sheet name="Ноябрь" sheetId="14" r:id="rId11"/>
    <sheet name="Декабрь" sheetId="15" r:id="rId12"/>
    <sheet name="Лист1" sheetId="16" state="hidden" r:id="rId13"/>
    <sheet name="Лист2" sheetId="17" state="hidden" r:id="rId14"/>
  </sheets>
  <calcPr calcId="162913"/>
</workbook>
</file>

<file path=xl/calcChain.xml><?xml version="1.0" encoding="utf-8"?>
<calcChain xmlns="http://schemas.openxmlformats.org/spreadsheetml/2006/main">
  <c r="E6" i="14" l="1"/>
  <c r="E5" i="14"/>
  <c r="E6" i="13" l="1"/>
  <c r="E5" i="13"/>
  <c r="E43" i="12" l="1"/>
  <c r="E36" i="12"/>
  <c r="E31" i="12"/>
  <c r="E26" i="12"/>
  <c r="E16" i="12"/>
  <c r="E6" i="12"/>
  <c r="E5" i="12"/>
  <c r="E21" i="12" l="1"/>
  <c r="E41" i="12"/>
  <c r="E6" i="11" l="1"/>
  <c r="E5" i="11"/>
  <c r="E6" i="10" l="1"/>
  <c r="E5" i="10" l="1"/>
  <c r="E6" i="9" l="1"/>
  <c r="E5" i="9"/>
  <c r="E6" i="8" l="1"/>
  <c r="E5" i="8"/>
  <c r="E6" i="7" l="1"/>
  <c r="E5" i="7"/>
  <c r="E6" i="6" l="1"/>
  <c r="E5" i="6"/>
  <c r="E6" i="5" l="1"/>
  <c r="E5" i="5"/>
  <c r="E6" i="4" l="1"/>
  <c r="E5" i="4"/>
  <c r="A2" i="15" l="1"/>
  <c r="A2" i="14"/>
  <c r="E19" i="17" l="1"/>
  <c r="D19" i="17"/>
  <c r="E20" i="17" s="1"/>
  <c r="F16" i="17" l="1"/>
  <c r="E16" i="17" s="1"/>
  <c r="D16" i="17"/>
  <c r="F15" i="17"/>
  <c r="E15" i="17" s="1"/>
  <c r="D15" i="17"/>
  <c r="F14" i="17"/>
  <c r="E14" i="17" s="1"/>
  <c r="D14" i="17"/>
  <c r="G12" i="17"/>
  <c r="H11" i="17"/>
  <c r="F13" i="17"/>
  <c r="E13" i="17" s="1"/>
  <c r="D13" i="17"/>
  <c r="G11" i="17"/>
  <c r="F12" i="17"/>
  <c r="D12" i="17"/>
  <c r="G5" i="17"/>
  <c r="F11" i="17"/>
  <c r="E11" i="17" s="1"/>
  <c r="D11" i="17"/>
  <c r="F10" i="17"/>
  <c r="E10" i="17" s="1"/>
  <c r="D10" i="17"/>
  <c r="F9" i="17"/>
  <c r="E9" i="17" s="1"/>
  <c r="D9" i="17"/>
  <c r="F8" i="17"/>
  <c r="E8" i="17" s="1"/>
  <c r="D8" i="17"/>
  <c r="F7" i="17"/>
  <c r="E7" i="17" s="1"/>
  <c r="D7" i="17"/>
  <c r="F6" i="17"/>
  <c r="E6" i="17" s="1"/>
  <c r="D6" i="17"/>
  <c r="D5" i="17"/>
  <c r="F5" i="17"/>
  <c r="E5" i="17" s="1"/>
  <c r="E12" i="17" l="1"/>
  <c r="E17" i="17"/>
  <c r="D17" i="17" s="1"/>
  <c r="B12" i="16" l="1"/>
  <c r="B11" i="16"/>
  <c r="C13" i="16"/>
  <c r="B13" i="16"/>
  <c r="C12" i="16"/>
  <c r="B5" i="16"/>
  <c r="C11" i="16"/>
  <c r="C10" i="16"/>
  <c r="B10" i="16"/>
  <c r="C9" i="16"/>
  <c r="B9" i="16"/>
  <c r="C8" i="16"/>
  <c r="B8" i="16"/>
  <c r="C6" i="16"/>
  <c r="C7" i="16"/>
  <c r="B7" i="16"/>
  <c r="D7" i="16" s="1"/>
  <c r="B6" i="16"/>
  <c r="C5" i="16"/>
  <c r="D13" i="16" l="1"/>
  <c r="D8" i="16"/>
  <c r="D9" i="16"/>
  <c r="D10" i="16"/>
  <c r="D6" i="16"/>
  <c r="D12" i="16"/>
  <c r="D11" i="16"/>
  <c r="D5" i="16"/>
  <c r="B18" i="16"/>
  <c r="D18" i="16"/>
  <c r="C18" i="16" l="1"/>
  <c r="A2" i="13" l="1"/>
  <c r="A2" i="12"/>
  <c r="A2" i="11"/>
  <c r="A2" i="10"/>
  <c r="A2" i="9"/>
  <c r="A2" i="8"/>
  <c r="A2" i="7"/>
  <c r="A2" i="6"/>
  <c r="A2" i="5"/>
  <c r="E9" i="5" l="1"/>
  <c r="E10" i="5" s="1"/>
  <c r="E9" i="6" l="1"/>
  <c r="E10" i="6" s="1"/>
  <c r="E9" i="7" l="1"/>
  <c r="E8" i="7"/>
  <c r="E10" i="7" l="1"/>
  <c r="E7" i="15" l="1"/>
  <c r="E7" i="14"/>
  <c r="E7" i="13"/>
  <c r="E7" i="12"/>
  <c r="E7" i="11"/>
  <c r="E7" i="10"/>
  <c r="E7" i="9"/>
  <c r="E7" i="8"/>
  <c r="E7" i="7"/>
  <c r="E7" i="6"/>
  <c r="E7" i="5"/>
  <c r="E7" i="4" l="1"/>
</calcChain>
</file>

<file path=xl/sharedStrings.xml><?xml version="1.0" encoding="utf-8"?>
<sst xmlns="http://schemas.openxmlformats.org/spreadsheetml/2006/main" count="245" uniqueCount="44">
  <si>
    <t>№</t>
  </si>
  <si>
    <t xml:space="preserve">Наименование </t>
  </si>
  <si>
    <t>ОАО "Кузбассэнергосбыт"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</si>
  <si>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</si>
  <si>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</si>
  <si>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</si>
  <si>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</si>
  <si>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</si>
  <si>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</si>
  <si>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</si>
  <si>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</si>
  <si>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</si>
  <si>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</si>
  <si>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</si>
  <si>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</si>
  <si>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</si>
  <si>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Электроэнергия для компенсации потерь, руб., без НДС</t>
  </si>
  <si>
    <t>Тариф, руб./тыс. кВт*ч без НДС</t>
  </si>
  <si>
    <t>Договор</t>
  </si>
  <si>
    <t>Гарантирующий поставщик</t>
  </si>
  <si>
    <t>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</si>
  <si>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Электроэнергия для компенсации потерь, МВт.час</t>
  </si>
  <si>
    <t>Дата:</t>
  </si>
  <si>
    <t>ООО "Металлэнергофинанс"</t>
  </si>
  <si>
    <t>за 2020 г.</t>
  </si>
  <si>
    <t>14.02.2019 г.</t>
  </si>
  <si>
    <t>13.03.2020 г.</t>
  </si>
  <si>
    <t>14.04.2020 г.</t>
  </si>
  <si>
    <t>13.05.2020 г.</t>
  </si>
  <si>
    <t>15.06.2020 г.</t>
  </si>
  <si>
    <t>14.07.2020 г.</t>
  </si>
  <si>
    <t>11.08.2020 г.</t>
  </si>
  <si>
    <t>11.09.2020 г.</t>
  </si>
  <si>
    <t>12.10.2020 г.</t>
  </si>
  <si>
    <t>Июль 2019</t>
  </si>
  <si>
    <t>Август 2019</t>
  </si>
  <si>
    <t>Сентябрь 2019</t>
  </si>
  <si>
    <t>Октябрь 2019</t>
  </si>
  <si>
    <t>Ноябрь 2019</t>
  </si>
  <si>
    <t>Декабрь 2019</t>
  </si>
  <si>
    <t>Корректировки за II полугодие 2019 г. по урегулированным разногласиям:</t>
  </si>
  <si>
    <t>ИТОГО:</t>
  </si>
  <si>
    <t>11.11.2020 г.</t>
  </si>
  <si>
    <t>11.12.2020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</si>
</sst>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р_._-;\-* #,##0.00_р_._-;_-* &quot;-&quot;??_р_._-;_-@_-"/>
    <numFmt numFmtId="164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Verdana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Verdan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theme="0"/>
      <name val="Verdana"/>
      <family val="2"/>
      <charset val="204"/>
    </font>
    <font>
      <b/>
      <sz val="10"/>
      <color theme="0"/>
      <name val="Verdana"/>
      <family val="2"/>
      <charset val="204"/>
    </font>
    <font>
      <sz val="10"/>
      <color theme="0"/>
      <name val="Arial Cyr"/>
      <charset val="204"/>
    </font>
    <font>
      <sz val="11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6" fillId="0" borderId="1" xfId="1" applyFont="1" applyBorder="1" applyAlignment="1">
      <alignment horizontal="center" vertical="center"/>
    </xf>
    <xf numFmtId="0" fontId="6" fillId="0" borderId="0" xfId="1" applyFont="1"/>
    <xf numFmtId="0" fontId="1" fillId="0" borderId="0" xfId="1" applyFont="1"/>
    <xf numFmtId="0" fontId="6" fillId="0" borderId="5" xfId="3" applyFont="1" applyFill="1" applyBorder="1" applyAlignment="1">
      <alignment horizontal="left" vertical="center" wrapText="1"/>
    </xf>
    <xf numFmtId="4" fontId="6" fillId="0" borderId="5" xfId="1" quotePrefix="1" applyNumberFormat="1" applyFont="1" applyFill="1" applyBorder="1" applyAlignment="1">
      <alignment vertical="center"/>
    </xf>
    <xf numFmtId="0" fontId="6" fillId="0" borderId="6" xfId="1" applyFont="1" applyFill="1" applyBorder="1" applyAlignment="1">
      <alignment vertical="center" wrapText="1"/>
    </xf>
    <xf numFmtId="4" fontId="6" fillId="0" borderId="6" xfId="1" quotePrefix="1" applyNumberFormat="1" applyFont="1" applyFill="1" applyBorder="1" applyAlignment="1">
      <alignment vertical="center"/>
    </xf>
    <xf numFmtId="0" fontId="2" fillId="0" borderId="7" xfId="3" applyFont="1" applyFill="1" applyBorder="1" applyAlignment="1">
      <alignment horizontal="left" vertical="center" wrapText="1"/>
    </xf>
    <xf numFmtId="4" fontId="2" fillId="0" borderId="7" xfId="1" quotePrefix="1" applyNumberFormat="1" applyFont="1" applyFill="1" applyBorder="1" applyAlignment="1">
      <alignment vertical="center"/>
    </xf>
    <xf numFmtId="0" fontId="2" fillId="0" borderId="1" xfId="1" applyFont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0" fontId="7" fillId="0" borderId="0" xfId="0" applyFont="1" applyAlignment="1">
      <alignment horizontal="right"/>
    </xf>
    <xf numFmtId="0" fontId="8" fillId="0" borderId="5" xfId="3" applyFont="1" applyFill="1" applyBorder="1" applyAlignment="1">
      <alignment horizontal="left" vertical="center" wrapText="1"/>
    </xf>
    <xf numFmtId="164" fontId="8" fillId="0" borderId="5" xfId="1" quotePrefix="1" applyNumberFormat="1" applyFont="1" applyFill="1" applyBorder="1" applyAlignment="1">
      <alignment vertical="center"/>
    </xf>
    <xf numFmtId="0" fontId="8" fillId="0" borderId="0" xfId="1" applyFont="1"/>
    <xf numFmtId="0" fontId="8" fillId="0" borderId="6" xfId="1" applyFont="1" applyFill="1" applyBorder="1" applyAlignment="1">
      <alignment vertical="center" wrapText="1"/>
    </xf>
    <xf numFmtId="4" fontId="8" fillId="0" borderId="6" xfId="1" quotePrefix="1" applyNumberFormat="1" applyFont="1" applyFill="1" applyBorder="1" applyAlignment="1">
      <alignment vertical="center"/>
    </xf>
    <xf numFmtId="0" fontId="10" fillId="0" borderId="0" xfId="1" applyFont="1"/>
    <xf numFmtId="0" fontId="9" fillId="0" borderId="7" xfId="3" applyFont="1" applyFill="1" applyBorder="1" applyAlignment="1">
      <alignment horizontal="left" vertical="center" wrapText="1"/>
    </xf>
    <xf numFmtId="4" fontId="9" fillId="0" borderId="7" xfId="1" quotePrefix="1" applyNumberFormat="1" applyFont="1" applyFill="1" applyBorder="1" applyAlignment="1">
      <alignment vertical="center"/>
    </xf>
    <xf numFmtId="0" fontId="11" fillId="0" borderId="0" xfId="0" applyFont="1"/>
    <xf numFmtId="49" fontId="2" fillId="0" borderId="1" xfId="2" applyNumberFormat="1" applyFont="1" applyBorder="1" applyAlignment="1">
      <alignment horizontal="center" vertical="top"/>
    </xf>
    <xf numFmtId="4" fontId="0" fillId="0" borderId="0" xfId="0" applyNumberFormat="1"/>
    <xf numFmtId="3" fontId="0" fillId="0" borderId="0" xfId="0" applyNumberFormat="1"/>
    <xf numFmtId="0" fontId="7" fillId="0" borderId="0" xfId="0" applyFont="1" applyFill="1" applyAlignment="1">
      <alignment horizontal="right"/>
    </xf>
    <xf numFmtId="14" fontId="7" fillId="0" borderId="0" xfId="0" applyNumberFormat="1" applyFont="1" applyAlignment="1">
      <alignment horizontal="right"/>
    </xf>
    <xf numFmtId="0" fontId="13" fillId="0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/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2" fillId="0" borderId="9" xfId="1" applyFont="1" applyFill="1" applyBorder="1" applyAlignment="1">
      <alignment horizontal="left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left" vertical="center" wrapText="1"/>
    </xf>
    <xf numFmtId="4" fontId="2" fillId="0" borderId="9" xfId="1" quotePrefix="1" applyNumberFormat="1" applyFont="1" applyFill="1" applyBorder="1" applyAlignment="1">
      <alignment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_НПК_модель02.12.03" xfId="3"/>
    <cellStyle name="Обычный_Финплан ГЭС май 2013" xfId="2"/>
    <cellStyle name="Финансовый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activeCell="E11" sqref="E1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7.28515625" customWidth="1"/>
    <col min="4" max="4" width="43" customWidth="1"/>
    <col min="5" max="5" width="16.140625" bestFit="1" customWidth="1"/>
  </cols>
  <sheetData>
    <row r="1" spans="1:5" ht="30" customHeight="1" x14ac:dyDescent="0.25">
      <c r="A1" s="46" t="s">
        <v>15</v>
      </c>
      <c r="B1" s="46"/>
      <c r="C1" s="46"/>
      <c r="D1" s="46"/>
      <c r="E1" s="46"/>
    </row>
    <row r="2" spans="1:5" x14ac:dyDescent="0.25">
      <c r="A2" s="46" t="s">
        <v>24</v>
      </c>
      <c r="B2" s="46"/>
      <c r="C2" s="46"/>
      <c r="D2" s="46"/>
      <c r="E2" s="46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3</v>
      </c>
    </row>
    <row r="5" spans="1:5" s="2" customFormat="1" ht="25.5" x14ac:dyDescent="0.2">
      <c r="A5" s="1">
        <v>1</v>
      </c>
      <c r="B5" s="42" t="s">
        <v>2</v>
      </c>
      <c r="C5" s="45" t="s">
        <v>20</v>
      </c>
      <c r="D5" s="4" t="s">
        <v>21</v>
      </c>
      <c r="E5" s="5">
        <f>15417828/1000</f>
        <v>15417.828</v>
      </c>
    </row>
    <row r="6" spans="1:5" s="3" customFormat="1" ht="12.75" x14ac:dyDescent="0.2">
      <c r="A6" s="1">
        <v>2</v>
      </c>
      <c r="B6" s="43"/>
      <c r="C6" s="45"/>
      <c r="D6" s="6" t="s">
        <v>17</v>
      </c>
      <c r="E6" s="7">
        <f>2.47308642*1000</f>
        <v>2473.0864200000001</v>
      </c>
    </row>
    <row r="7" spans="1:5" s="3" customFormat="1" ht="25.5" x14ac:dyDescent="0.2">
      <c r="A7" s="1">
        <v>3</v>
      </c>
      <c r="B7" s="44"/>
      <c r="C7" s="45"/>
      <c r="D7" s="8" t="s">
        <v>16</v>
      </c>
      <c r="E7" s="9">
        <f t="shared" ref="E7" si="0">E5*E6</f>
        <v>38129621.052695759</v>
      </c>
    </row>
    <row r="11" spans="1:5" x14ac:dyDescent="0.25">
      <c r="D11" s="14" t="s">
        <v>22</v>
      </c>
      <c r="E11" s="14" t="s">
        <v>25</v>
      </c>
    </row>
  </sheetData>
  <mergeCells count="4">
    <mergeCell ref="B5:B7"/>
    <mergeCell ref="C5:C7"/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sqref="A1:E1"/>
    </sheetView>
  </sheetViews>
  <sheetFormatPr defaultRowHeight="14.25" x14ac:dyDescent="0.2"/>
  <cols>
    <col min="1" max="1" width="2.85546875" style="23" bestFit="1" customWidth="1"/>
    <col min="2" max="2" width="46.7109375" style="23" customWidth="1"/>
    <col min="3" max="3" width="48.28515625" style="23" customWidth="1"/>
    <col min="4" max="4" width="43" style="23" customWidth="1"/>
    <col min="5" max="5" width="16.140625" style="23" bestFit="1" customWidth="1"/>
    <col min="6" max="16384" width="9.140625" style="23"/>
  </cols>
  <sheetData>
    <row r="1" spans="1:5" ht="30" customHeight="1" x14ac:dyDescent="0.2">
      <c r="A1" s="46" t="s">
        <v>15</v>
      </c>
      <c r="B1" s="46"/>
      <c r="C1" s="46"/>
      <c r="D1" s="46"/>
      <c r="E1" s="46"/>
    </row>
    <row r="2" spans="1:5" ht="15" customHeight="1" x14ac:dyDescent="0.2">
      <c r="A2" s="46" t="str">
        <f>Январь!$A$2</f>
        <v>за 2020 г.</v>
      </c>
      <c r="B2" s="46"/>
      <c r="C2" s="46"/>
      <c r="D2" s="46"/>
      <c r="E2" s="46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24" t="s">
        <v>12</v>
      </c>
    </row>
    <row r="5" spans="1:5" s="2" customFormat="1" ht="25.5" customHeight="1" x14ac:dyDescent="0.2">
      <c r="A5" s="1">
        <v>1</v>
      </c>
      <c r="B5" s="42" t="s">
        <v>2</v>
      </c>
      <c r="C5" s="45" t="s">
        <v>20</v>
      </c>
      <c r="D5" s="4" t="s">
        <v>21</v>
      </c>
      <c r="E5" s="5">
        <f>13501475/1000</f>
        <v>13501.475</v>
      </c>
    </row>
    <row r="6" spans="1:5" s="2" customFormat="1" ht="12.75" customHeight="1" x14ac:dyDescent="0.2">
      <c r="A6" s="1">
        <v>2</v>
      </c>
      <c r="B6" s="43"/>
      <c r="C6" s="45"/>
      <c r="D6" s="6" t="s">
        <v>17</v>
      </c>
      <c r="E6" s="7">
        <f>2.51653009045308*1000</f>
        <v>2516.53009045308</v>
      </c>
    </row>
    <row r="7" spans="1:5" s="2" customFormat="1" ht="25.5" customHeight="1" x14ac:dyDescent="0.2">
      <c r="A7" s="1">
        <v>3</v>
      </c>
      <c r="B7" s="44"/>
      <c r="C7" s="45"/>
      <c r="D7" s="8" t="s">
        <v>16</v>
      </c>
      <c r="E7" s="9">
        <f t="shared" ref="E7" si="0">E5*E6</f>
        <v>33976868.103</v>
      </c>
    </row>
    <row r="11" spans="1:5" customFormat="1" ht="15" x14ac:dyDescent="0.25">
      <c r="D11" s="14" t="s">
        <v>22</v>
      </c>
      <c r="E11" s="14" t="s">
        <v>42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tabSelected="1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6" t="s">
        <v>15</v>
      </c>
      <c r="B1" s="46"/>
      <c r="C1" s="46"/>
      <c r="D1" s="46"/>
      <c r="E1" s="46"/>
    </row>
    <row r="2" spans="1:5" ht="15" customHeight="1" x14ac:dyDescent="0.25">
      <c r="A2" s="46" t="str">
        <f>Январь!$A$2</f>
        <v>за 2020 г.</v>
      </c>
      <c r="B2" s="46"/>
      <c r="C2" s="46"/>
      <c r="D2" s="46"/>
      <c r="E2" s="46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13</v>
      </c>
    </row>
    <row r="5" spans="1:5" s="2" customFormat="1" ht="25.5" customHeight="1" x14ac:dyDescent="0.2">
      <c r="A5" s="1">
        <v>1</v>
      </c>
      <c r="B5" s="42" t="s">
        <v>2</v>
      </c>
      <c r="C5" s="45" t="s">
        <v>20</v>
      </c>
      <c r="D5" s="4" t="s">
        <v>21</v>
      </c>
      <c r="E5" s="5">
        <f>10548326/1000</f>
        <v>10548.325999999999</v>
      </c>
    </row>
    <row r="6" spans="1:5" s="3" customFormat="1" ht="12.75" customHeight="1" x14ac:dyDescent="0.2">
      <c r="A6" s="1">
        <v>2</v>
      </c>
      <c r="B6" s="43"/>
      <c r="C6" s="45"/>
      <c r="D6" s="6" t="s">
        <v>17</v>
      </c>
      <c r="E6" s="7">
        <f>2.7612*1000</f>
        <v>2761.2000000000003</v>
      </c>
    </row>
    <row r="7" spans="1:5" s="3" customFormat="1" ht="25.5" customHeight="1" x14ac:dyDescent="0.2">
      <c r="A7" s="1">
        <v>3</v>
      </c>
      <c r="B7" s="44"/>
      <c r="C7" s="45"/>
      <c r="D7" s="8" t="s">
        <v>16</v>
      </c>
      <c r="E7" s="9">
        <f t="shared" ref="E7" si="0">E5*E6</f>
        <v>29126037.751200002</v>
      </c>
    </row>
    <row r="11" spans="1:5" x14ac:dyDescent="0.25">
      <c r="D11" s="14" t="s">
        <v>22</v>
      </c>
      <c r="E11" s="14" t="s">
        <v>43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activeCell="A3" sqref="A3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6" t="s">
        <v>15</v>
      </c>
      <c r="B1" s="46"/>
      <c r="C1" s="46"/>
      <c r="D1" s="46"/>
      <c r="E1" s="46"/>
    </row>
    <row r="2" spans="1:5" ht="15" customHeight="1" x14ac:dyDescent="0.25">
      <c r="A2" s="46" t="str">
        <f>Январь!$A$2</f>
        <v>за 2020 г.</v>
      </c>
      <c r="B2" s="46"/>
      <c r="C2" s="46"/>
      <c r="D2" s="46"/>
      <c r="E2" s="46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14</v>
      </c>
    </row>
    <row r="5" spans="1:5" s="2" customFormat="1" ht="25.5" customHeight="1" x14ac:dyDescent="0.2">
      <c r="A5" s="1">
        <v>1</v>
      </c>
      <c r="B5" s="42" t="s">
        <v>2</v>
      </c>
      <c r="C5" s="45" t="s">
        <v>20</v>
      </c>
      <c r="D5" s="4" t="s">
        <v>21</v>
      </c>
      <c r="E5" s="5"/>
    </row>
    <row r="6" spans="1:5" s="3" customFormat="1" ht="12.75" customHeight="1" x14ac:dyDescent="0.2">
      <c r="A6" s="1">
        <v>2</v>
      </c>
      <c r="B6" s="43"/>
      <c r="C6" s="45"/>
      <c r="D6" s="6" t="s">
        <v>17</v>
      </c>
      <c r="E6" s="7"/>
    </row>
    <row r="7" spans="1:5" s="3" customFormat="1" ht="25.5" customHeight="1" x14ac:dyDescent="0.2">
      <c r="A7" s="1">
        <v>3</v>
      </c>
      <c r="B7" s="44"/>
      <c r="C7" s="45"/>
      <c r="D7" s="8" t="s">
        <v>16</v>
      </c>
      <c r="E7" s="9">
        <f t="shared" ref="E7" si="0">E5*E6</f>
        <v>0</v>
      </c>
    </row>
    <row r="11" spans="1:5" x14ac:dyDescent="0.25">
      <c r="D11" s="14" t="s">
        <v>22</v>
      </c>
      <c r="E11" s="28"/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8"/>
  <sheetViews>
    <sheetView workbookViewId="0">
      <selection activeCell="B18" sqref="B18:D18"/>
    </sheetView>
  </sheetViews>
  <sheetFormatPr defaultRowHeight="15" x14ac:dyDescent="0.25"/>
  <cols>
    <col min="4" max="4" width="13.5703125" bestFit="1" customWidth="1"/>
  </cols>
  <sheetData>
    <row r="5" spans="1:4" x14ac:dyDescent="0.25">
      <c r="A5">
        <v>1</v>
      </c>
      <c r="B5" s="25" t="e">
        <f>Январь!E5+Июль!#REF!</f>
        <v>#REF!</v>
      </c>
      <c r="C5" s="25">
        <f>Январь!E6</f>
        <v>2473.0864200000001</v>
      </c>
      <c r="D5" s="26" t="e">
        <f>B5*C5/1000</f>
        <v>#REF!</v>
      </c>
    </row>
    <row r="6" spans="1:4" x14ac:dyDescent="0.25">
      <c r="A6">
        <v>2</v>
      </c>
      <c r="B6" s="25">
        <f>Февраль!E5</f>
        <v>7574.0990000000002</v>
      </c>
      <c r="C6" s="25">
        <f>Февраль!E6</f>
        <v>2562.62</v>
      </c>
      <c r="D6" s="26">
        <f t="shared" ref="D6:D13" si="0">B6*C6/1000</f>
        <v>19409.537579379998</v>
      </c>
    </row>
    <row r="7" spans="1:4" x14ac:dyDescent="0.25">
      <c r="A7">
        <v>3</v>
      </c>
      <c r="B7" s="25">
        <f>Март!E5</f>
        <v>16548.867999999999</v>
      </c>
      <c r="C7" s="25">
        <f>Март!E6</f>
        <v>2364.56</v>
      </c>
      <c r="D7" s="26">
        <f t="shared" si="0"/>
        <v>39130.791318079995</v>
      </c>
    </row>
    <row r="8" spans="1:4" x14ac:dyDescent="0.25">
      <c r="A8">
        <v>4</v>
      </c>
      <c r="B8" s="25">
        <f>Апрель!E5</f>
        <v>7018.4080000000004</v>
      </c>
      <c r="C8" s="25">
        <f>Апрель!E6</f>
        <v>2276.0500000000002</v>
      </c>
      <c r="D8" s="26">
        <f t="shared" si="0"/>
        <v>15974.247528400003</v>
      </c>
    </row>
    <row r="9" spans="1:4" x14ac:dyDescent="0.25">
      <c r="A9">
        <v>5</v>
      </c>
      <c r="B9" s="25">
        <f>Май!E5</f>
        <v>7584.0619999999999</v>
      </c>
      <c r="C9" s="25">
        <f>Май!E6</f>
        <v>2155.71</v>
      </c>
      <c r="D9" s="26">
        <f t="shared" si="0"/>
        <v>16349.038294020002</v>
      </c>
    </row>
    <row r="10" spans="1:4" x14ac:dyDescent="0.25">
      <c r="A10">
        <v>6</v>
      </c>
      <c r="B10" s="25">
        <f>Июнь!E5</f>
        <v>5618.0079999999998</v>
      </c>
      <c r="C10" s="25">
        <f>Июнь!E6</f>
        <v>2204.02</v>
      </c>
      <c r="D10" s="26">
        <f t="shared" si="0"/>
        <v>12382.20199216</v>
      </c>
    </row>
    <row r="11" spans="1:4" x14ac:dyDescent="0.25">
      <c r="A11">
        <v>7</v>
      </c>
      <c r="B11" s="25" t="e">
        <f>Июль!E5+Август!#REF!+Сентябрь!#REF!</f>
        <v>#REF!</v>
      </c>
      <c r="C11" s="25">
        <f>Июль!E6</f>
        <v>2399.9158694339399</v>
      </c>
      <c r="D11" s="26" t="e">
        <f t="shared" si="0"/>
        <v>#REF!</v>
      </c>
    </row>
    <row r="12" spans="1:4" x14ac:dyDescent="0.25">
      <c r="A12">
        <v>8</v>
      </c>
      <c r="B12" s="25" t="e">
        <f>Август!E5+Сентябрь!#REF!</f>
        <v>#REF!</v>
      </c>
      <c r="C12" s="25">
        <f>Август!E6</f>
        <v>2450.5300000000002</v>
      </c>
      <c r="D12" s="26" t="e">
        <f t="shared" si="0"/>
        <v>#REF!</v>
      </c>
    </row>
    <row r="13" spans="1:4" x14ac:dyDescent="0.25">
      <c r="A13">
        <v>9</v>
      </c>
      <c r="B13" s="25">
        <f>Сентябрь!E5</f>
        <v>7591.5770000000002</v>
      </c>
      <c r="C13" s="25">
        <f>Сентябрь!E6</f>
        <v>2632.12527512004</v>
      </c>
      <c r="D13" s="26">
        <f t="shared" si="0"/>
        <v>19981.98169971997</v>
      </c>
    </row>
    <row r="16" spans="1:4" x14ac:dyDescent="0.25">
      <c r="D16" s="25"/>
    </row>
    <row r="18" spans="2:4" x14ac:dyDescent="0.25">
      <c r="B18" s="25" t="e">
        <f>SUM(B5:B13)</f>
        <v>#REF!</v>
      </c>
      <c r="C18" s="25" t="e">
        <f>D18/B18*1000</f>
        <v>#REF!</v>
      </c>
      <c r="D18" s="26" t="e">
        <f>SUM(D5:D13)</f>
        <v>#REF!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H20"/>
  <sheetViews>
    <sheetView workbookViewId="0">
      <selection activeCell="E19" activeCellId="1" sqref="E5:E16 E19"/>
    </sheetView>
  </sheetViews>
  <sheetFormatPr defaultRowHeight="15" x14ac:dyDescent="0.25"/>
  <cols>
    <col min="5" max="5" width="10.85546875" bestFit="1" customWidth="1"/>
    <col min="9" max="9" width="9.140625" customWidth="1"/>
  </cols>
  <sheetData>
    <row r="5" spans="3:8" x14ac:dyDescent="0.25">
      <c r="C5" t="s">
        <v>3</v>
      </c>
      <c r="D5" s="25">
        <f>Январь!E6</f>
        <v>2473.0864200000001</v>
      </c>
      <c r="E5" s="26" t="e">
        <f>SUM(F5:H5)</f>
        <v>#REF!</v>
      </c>
      <c r="F5" s="26">
        <f>Январь!E5</f>
        <v>15417.828</v>
      </c>
      <c r="G5" s="26" t="e">
        <f>Июль!#REF!</f>
        <v>#REF!</v>
      </c>
      <c r="H5" s="26"/>
    </row>
    <row r="6" spans="3:8" x14ac:dyDescent="0.25">
      <c r="C6" t="s">
        <v>4</v>
      </c>
      <c r="D6" s="25">
        <f>Февраль!E6</f>
        <v>2562.62</v>
      </c>
      <c r="E6" s="26">
        <f t="shared" ref="E6:E16" si="0">SUM(F6:H6)</f>
        <v>7574.0990000000002</v>
      </c>
      <c r="F6" s="26">
        <f>Февраль!E5</f>
        <v>7574.0990000000002</v>
      </c>
    </row>
    <row r="7" spans="3:8" x14ac:dyDescent="0.25">
      <c r="C7" t="s">
        <v>5</v>
      </c>
      <c r="D7" s="25">
        <f>Март!E6</f>
        <v>2364.56</v>
      </c>
      <c r="E7" s="26">
        <f t="shared" si="0"/>
        <v>16548.867999999999</v>
      </c>
      <c r="F7" s="26">
        <f>Март!E5</f>
        <v>16548.867999999999</v>
      </c>
    </row>
    <row r="8" spans="3:8" x14ac:dyDescent="0.25">
      <c r="C8" t="s">
        <v>6</v>
      </c>
      <c r="D8" s="25">
        <f>Апрель!E6</f>
        <v>2276.0500000000002</v>
      </c>
      <c r="E8" s="26">
        <f t="shared" si="0"/>
        <v>7018.4080000000004</v>
      </c>
      <c r="F8" s="26">
        <f>Апрель!E5</f>
        <v>7018.4080000000004</v>
      </c>
    </row>
    <row r="9" spans="3:8" x14ac:dyDescent="0.25">
      <c r="C9" t="s">
        <v>7</v>
      </c>
      <c r="D9" s="25">
        <f>Май!E6</f>
        <v>2155.71</v>
      </c>
      <c r="E9" s="26">
        <f t="shared" si="0"/>
        <v>7584.0619999999999</v>
      </c>
      <c r="F9" s="26">
        <f>Май!E5</f>
        <v>7584.0619999999999</v>
      </c>
    </row>
    <row r="10" spans="3:8" x14ac:dyDescent="0.25">
      <c r="C10" t="s">
        <v>8</v>
      </c>
      <c r="D10" s="25">
        <f>Июнь!E6</f>
        <v>2204.02</v>
      </c>
      <c r="E10" s="26">
        <f t="shared" si="0"/>
        <v>5618.0079999999998</v>
      </c>
      <c r="F10" s="26">
        <f>Июнь!E5</f>
        <v>5618.0079999999998</v>
      </c>
    </row>
    <row r="11" spans="3:8" x14ac:dyDescent="0.25">
      <c r="C11" t="s">
        <v>9</v>
      </c>
      <c r="D11" s="25">
        <f>Июль!E6</f>
        <v>2399.9158694339399</v>
      </c>
      <c r="E11" s="26" t="e">
        <f t="shared" si="0"/>
        <v>#REF!</v>
      </c>
      <c r="F11" s="26">
        <f>Июль!E5</f>
        <v>9379.7119999999995</v>
      </c>
      <c r="G11" s="25" t="e">
        <f>Август!#REF!</f>
        <v>#REF!</v>
      </c>
      <c r="H11" s="25" t="e">
        <f>Сентябрь!#REF!</f>
        <v>#REF!</v>
      </c>
    </row>
    <row r="12" spans="3:8" x14ac:dyDescent="0.25">
      <c r="C12" t="s">
        <v>10</v>
      </c>
      <c r="D12" s="25">
        <f>Август!E6</f>
        <v>2450.5300000000002</v>
      </c>
      <c r="E12" s="26" t="e">
        <f t="shared" si="0"/>
        <v>#REF!</v>
      </c>
      <c r="F12" s="26">
        <f>Август!E5</f>
        <v>7074.3149999999996</v>
      </c>
      <c r="G12" s="25" t="e">
        <f>Сентябрь!#REF!</f>
        <v>#REF!</v>
      </c>
    </row>
    <row r="13" spans="3:8" x14ac:dyDescent="0.25">
      <c r="C13" t="s">
        <v>11</v>
      </c>
      <c r="D13" s="25">
        <f>Сентябрь!E6</f>
        <v>2632.12527512004</v>
      </c>
      <c r="E13" s="26">
        <f t="shared" si="0"/>
        <v>7591.5770000000002</v>
      </c>
      <c r="F13" s="26">
        <f>Сентябрь!E5</f>
        <v>7591.5770000000002</v>
      </c>
    </row>
    <row r="14" spans="3:8" x14ac:dyDescent="0.25">
      <c r="C14" t="s">
        <v>12</v>
      </c>
      <c r="D14" s="25">
        <f>Октябрь!E6</f>
        <v>2516.53009045308</v>
      </c>
      <c r="E14" s="26">
        <f t="shared" si="0"/>
        <v>13501.475</v>
      </c>
      <c r="F14" s="26">
        <f>Октябрь!E5</f>
        <v>13501.475</v>
      </c>
    </row>
    <row r="15" spans="3:8" x14ac:dyDescent="0.25">
      <c r="C15" t="s">
        <v>13</v>
      </c>
      <c r="D15" s="25">
        <f>Ноябрь!E6</f>
        <v>2761.2000000000003</v>
      </c>
      <c r="E15" s="26">
        <f t="shared" si="0"/>
        <v>10548.325999999999</v>
      </c>
      <c r="F15" s="26">
        <f>Ноябрь!E5</f>
        <v>10548.325999999999</v>
      </c>
    </row>
    <row r="16" spans="3:8" x14ac:dyDescent="0.25">
      <c r="C16" t="s">
        <v>14</v>
      </c>
      <c r="D16" s="25">
        <f>Декабрь!E6</f>
        <v>0</v>
      </c>
      <c r="E16" s="26">
        <f t="shared" si="0"/>
        <v>0</v>
      </c>
      <c r="F16" s="26">
        <f>Декабрь!E5</f>
        <v>0</v>
      </c>
    </row>
    <row r="17" spans="4:6" x14ac:dyDescent="0.25">
      <c r="D17" s="25" t="e">
        <f>E17/(SUM(E5:E16)+E19)</f>
        <v>#REF!</v>
      </c>
      <c r="E17" s="26" t="e">
        <f>SUMPRODUCT(D5:D16,E5:E16)+E20</f>
        <v>#REF!</v>
      </c>
      <c r="F17" s="26"/>
    </row>
    <row r="19" spans="4:6" x14ac:dyDescent="0.25">
      <c r="D19" s="25">
        <f>2.54998*1000</f>
        <v>2549.98</v>
      </c>
      <c r="E19" s="26">
        <f>7/1000</f>
        <v>7.0000000000000001E-3</v>
      </c>
    </row>
    <row r="20" spans="4:6" x14ac:dyDescent="0.25">
      <c r="E20" s="25">
        <f>D19*E19</f>
        <v>17.84986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14" sqref="E14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6" t="s">
        <v>15</v>
      </c>
      <c r="B1" s="46"/>
      <c r="C1" s="46"/>
      <c r="D1" s="46"/>
      <c r="E1" s="46"/>
    </row>
    <row r="2" spans="1:5" ht="15" customHeight="1" x14ac:dyDescent="0.25">
      <c r="A2" s="46" t="str">
        <f>Январь!$A$2</f>
        <v>за 2020 г.</v>
      </c>
      <c r="B2" s="46"/>
      <c r="C2" s="46"/>
      <c r="D2" s="46"/>
      <c r="E2" s="46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4</v>
      </c>
    </row>
    <row r="5" spans="1:5" s="2" customFormat="1" ht="25.5" customHeight="1" x14ac:dyDescent="0.2">
      <c r="A5" s="54">
        <v>1</v>
      </c>
      <c r="B5" s="42" t="s">
        <v>2</v>
      </c>
      <c r="C5" s="45" t="s">
        <v>20</v>
      </c>
      <c r="D5" s="4" t="s">
        <v>21</v>
      </c>
      <c r="E5" s="5">
        <f>7574099/1000</f>
        <v>7574.0990000000002</v>
      </c>
    </row>
    <row r="6" spans="1:5" s="3" customFormat="1" ht="12.75" x14ac:dyDescent="0.2">
      <c r="A6" s="55"/>
      <c r="B6" s="43"/>
      <c r="C6" s="45"/>
      <c r="D6" s="6" t="s">
        <v>17</v>
      </c>
      <c r="E6" s="7">
        <f>2.56262*1000</f>
        <v>2562.62</v>
      </c>
    </row>
    <row r="7" spans="1:5" s="3" customFormat="1" ht="25.5" x14ac:dyDescent="0.2">
      <c r="A7" s="56"/>
      <c r="B7" s="44"/>
      <c r="C7" s="45"/>
      <c r="D7" s="8" t="s">
        <v>16</v>
      </c>
      <c r="E7" s="9">
        <f t="shared" ref="E7" si="0">E5*E6</f>
        <v>19409537.579379998</v>
      </c>
    </row>
    <row r="8" spans="1:5" s="17" customFormat="1" ht="25.5" hidden="1" customHeight="1" x14ac:dyDescent="0.2">
      <c r="A8" s="47">
        <v>2</v>
      </c>
      <c r="B8" s="50" t="s">
        <v>23</v>
      </c>
      <c r="C8" s="53" t="s">
        <v>20</v>
      </c>
      <c r="D8" s="15" t="s">
        <v>21</v>
      </c>
      <c r="E8" s="16">
        <v>0.91600000000000004</v>
      </c>
    </row>
    <row r="9" spans="1:5" s="20" customFormat="1" ht="12.75" hidden="1" customHeight="1" x14ac:dyDescent="0.2">
      <c r="A9" s="48"/>
      <c r="B9" s="51"/>
      <c r="C9" s="53"/>
      <c r="D9" s="18" t="s">
        <v>17</v>
      </c>
      <c r="E9" s="19">
        <f>2.23865*1000</f>
        <v>2238.6499999999996</v>
      </c>
    </row>
    <row r="10" spans="1:5" s="20" customFormat="1" ht="25.5" hidden="1" customHeight="1" x14ac:dyDescent="0.2">
      <c r="A10" s="49"/>
      <c r="B10" s="52"/>
      <c r="C10" s="53"/>
      <c r="D10" s="21" t="s">
        <v>16</v>
      </c>
      <c r="E10" s="22">
        <f t="shared" ref="E10" si="1">E8*E9</f>
        <v>2050.6034</v>
      </c>
    </row>
    <row r="14" spans="1:5" x14ac:dyDescent="0.25">
      <c r="D14" s="14" t="s">
        <v>22</v>
      </c>
      <c r="E14" s="14" t="s">
        <v>26</v>
      </c>
    </row>
  </sheetData>
  <mergeCells count="8"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14" sqref="E14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6" t="s">
        <v>15</v>
      </c>
      <c r="B1" s="46"/>
      <c r="C1" s="46"/>
      <c r="D1" s="46"/>
      <c r="E1" s="46"/>
    </row>
    <row r="2" spans="1:5" ht="15" customHeight="1" x14ac:dyDescent="0.25">
      <c r="A2" s="46" t="str">
        <f>Январь!$A$2</f>
        <v>за 2020 г.</v>
      </c>
      <c r="B2" s="46"/>
      <c r="C2" s="46"/>
      <c r="D2" s="46"/>
      <c r="E2" s="46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5</v>
      </c>
    </row>
    <row r="5" spans="1:5" s="2" customFormat="1" ht="25.5" customHeight="1" x14ac:dyDescent="0.2">
      <c r="A5" s="54">
        <v>1</v>
      </c>
      <c r="B5" s="42" t="s">
        <v>2</v>
      </c>
      <c r="C5" s="45" t="s">
        <v>20</v>
      </c>
      <c r="D5" s="4" t="s">
        <v>21</v>
      </c>
      <c r="E5" s="5">
        <f>16548868/1000</f>
        <v>16548.867999999999</v>
      </c>
    </row>
    <row r="6" spans="1:5" s="3" customFormat="1" ht="12.75" customHeight="1" x14ac:dyDescent="0.2">
      <c r="A6" s="55"/>
      <c r="B6" s="43"/>
      <c r="C6" s="45"/>
      <c r="D6" s="6" t="s">
        <v>17</v>
      </c>
      <c r="E6" s="7">
        <f>2.36456*1000</f>
        <v>2364.56</v>
      </c>
    </row>
    <row r="7" spans="1:5" s="3" customFormat="1" ht="25.5" customHeight="1" x14ac:dyDescent="0.2">
      <c r="A7" s="56"/>
      <c r="B7" s="44"/>
      <c r="C7" s="45"/>
      <c r="D7" s="8" t="s">
        <v>16</v>
      </c>
      <c r="E7" s="9">
        <f t="shared" ref="E7" si="0">E5*E6</f>
        <v>39130791.318079993</v>
      </c>
    </row>
    <row r="8" spans="1:5" s="17" customFormat="1" ht="25.5" hidden="1" customHeight="1" x14ac:dyDescent="0.2">
      <c r="A8" s="47">
        <v>2</v>
      </c>
      <c r="B8" s="50" t="s">
        <v>23</v>
      </c>
      <c r="C8" s="53" t="s">
        <v>20</v>
      </c>
      <c r="D8" s="15" t="s">
        <v>21</v>
      </c>
      <c r="E8" s="16">
        <v>5.42</v>
      </c>
    </row>
    <row r="9" spans="1:5" s="20" customFormat="1" ht="12.75" hidden="1" customHeight="1" x14ac:dyDescent="0.2">
      <c r="A9" s="48"/>
      <c r="B9" s="51"/>
      <c r="C9" s="53"/>
      <c r="D9" s="18" t="s">
        <v>17</v>
      </c>
      <c r="E9" s="19">
        <f>2.1634*1000</f>
        <v>2163.4</v>
      </c>
    </row>
    <row r="10" spans="1:5" s="20" customFormat="1" ht="25.5" hidden="1" customHeight="1" x14ac:dyDescent="0.2">
      <c r="A10" s="49"/>
      <c r="B10" s="52"/>
      <c r="C10" s="53"/>
      <c r="D10" s="21" t="s">
        <v>16</v>
      </c>
      <c r="E10" s="22">
        <f t="shared" ref="E10" si="1">E8*E9</f>
        <v>11725.628000000001</v>
      </c>
    </row>
    <row r="14" spans="1:5" x14ac:dyDescent="0.25">
      <c r="D14" s="14" t="s">
        <v>22</v>
      </c>
      <c r="E14" s="28" t="s">
        <v>27</v>
      </c>
    </row>
  </sheetData>
  <mergeCells count="8"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14" sqref="E14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6" t="s">
        <v>15</v>
      </c>
      <c r="B1" s="46"/>
      <c r="C1" s="46"/>
      <c r="D1" s="46"/>
      <c r="E1" s="46"/>
    </row>
    <row r="2" spans="1:5" ht="15" customHeight="1" x14ac:dyDescent="0.25">
      <c r="A2" s="46" t="str">
        <f>Январь!$A$2</f>
        <v>за 2020 г.</v>
      </c>
      <c r="B2" s="46"/>
      <c r="C2" s="46"/>
      <c r="D2" s="46"/>
      <c r="E2" s="46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6</v>
      </c>
    </row>
    <row r="5" spans="1:5" s="2" customFormat="1" ht="25.5" customHeight="1" x14ac:dyDescent="0.2">
      <c r="A5" s="54">
        <v>1</v>
      </c>
      <c r="B5" s="42" t="s">
        <v>2</v>
      </c>
      <c r="C5" s="45" t="s">
        <v>20</v>
      </c>
      <c r="D5" s="4" t="s">
        <v>21</v>
      </c>
      <c r="E5" s="5">
        <f>7018408/1000</f>
        <v>7018.4080000000004</v>
      </c>
    </row>
    <row r="6" spans="1:5" s="3" customFormat="1" ht="12.75" customHeight="1" x14ac:dyDescent="0.2">
      <c r="A6" s="55"/>
      <c r="B6" s="43"/>
      <c r="C6" s="45"/>
      <c r="D6" s="6" t="s">
        <v>17</v>
      </c>
      <c r="E6" s="7">
        <f>2.27605*1000</f>
        <v>2276.0500000000002</v>
      </c>
    </row>
    <row r="7" spans="1:5" s="3" customFormat="1" ht="25.5" customHeight="1" x14ac:dyDescent="0.2">
      <c r="A7" s="56"/>
      <c r="B7" s="44"/>
      <c r="C7" s="45"/>
      <c r="D7" s="8" t="s">
        <v>16</v>
      </c>
      <c r="E7" s="9">
        <f t="shared" ref="E7" si="0">E5*E6</f>
        <v>15974247.528400002</v>
      </c>
    </row>
    <row r="8" spans="1:5" s="17" customFormat="1" ht="25.5" hidden="1" customHeight="1" x14ac:dyDescent="0.2">
      <c r="A8" s="47">
        <v>2</v>
      </c>
      <c r="B8" s="50" t="s">
        <v>23</v>
      </c>
      <c r="C8" s="53" t="s">
        <v>20</v>
      </c>
      <c r="D8" s="15" t="s">
        <v>21</v>
      </c>
      <c r="E8" s="16">
        <f>78/1000</f>
        <v>7.8E-2</v>
      </c>
    </row>
    <row r="9" spans="1:5" s="20" customFormat="1" ht="12.75" hidden="1" customHeight="1" x14ac:dyDescent="0.2">
      <c r="A9" s="48"/>
      <c r="B9" s="51"/>
      <c r="C9" s="53"/>
      <c r="D9" s="18" t="s">
        <v>17</v>
      </c>
      <c r="E9" s="19">
        <f>2.26715*1000</f>
        <v>2267.15</v>
      </c>
    </row>
    <row r="10" spans="1:5" s="20" customFormat="1" ht="25.5" hidden="1" customHeight="1" x14ac:dyDescent="0.2">
      <c r="A10" s="49"/>
      <c r="B10" s="52"/>
      <c r="C10" s="53"/>
      <c r="D10" s="21" t="s">
        <v>16</v>
      </c>
      <c r="E10" s="22">
        <f t="shared" ref="E10" si="1">E8*E9</f>
        <v>176.83770000000001</v>
      </c>
    </row>
    <row r="14" spans="1:5" x14ac:dyDescent="0.25">
      <c r="D14" s="14" t="s">
        <v>22</v>
      </c>
      <c r="E14" s="14" t="s">
        <v>28</v>
      </c>
    </row>
  </sheetData>
  <mergeCells count="8">
    <mergeCell ref="A1:E1"/>
    <mergeCell ref="A2:E2"/>
    <mergeCell ref="B5:B7"/>
    <mergeCell ref="C5:C7"/>
    <mergeCell ref="B8:B10"/>
    <mergeCell ref="C8:C10"/>
    <mergeCell ref="A5:A7"/>
    <mergeCell ref="A8:A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6" t="s">
        <v>15</v>
      </c>
      <c r="B1" s="46"/>
      <c r="C1" s="46"/>
      <c r="D1" s="46"/>
      <c r="E1" s="46"/>
    </row>
    <row r="2" spans="1:5" ht="15" customHeight="1" x14ac:dyDescent="0.25">
      <c r="A2" s="46" t="str">
        <f>Январь!$A$2</f>
        <v>за 2020 г.</v>
      </c>
      <c r="B2" s="46"/>
      <c r="C2" s="46"/>
      <c r="D2" s="46"/>
      <c r="E2" s="46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7</v>
      </c>
    </row>
    <row r="5" spans="1:5" s="2" customFormat="1" ht="25.5" customHeight="1" x14ac:dyDescent="0.2">
      <c r="A5" s="1">
        <v>1</v>
      </c>
      <c r="B5" s="42" t="s">
        <v>2</v>
      </c>
      <c r="C5" s="45" t="s">
        <v>20</v>
      </c>
      <c r="D5" s="4" t="s">
        <v>21</v>
      </c>
      <c r="E5" s="5">
        <f>7584062/1000</f>
        <v>7584.0619999999999</v>
      </c>
    </row>
    <row r="6" spans="1:5" s="3" customFormat="1" ht="12.75" customHeight="1" x14ac:dyDescent="0.2">
      <c r="A6" s="1">
        <v>2</v>
      </c>
      <c r="B6" s="43"/>
      <c r="C6" s="45"/>
      <c r="D6" s="6" t="s">
        <v>17</v>
      </c>
      <c r="E6" s="7">
        <f>2.15571*1000</f>
        <v>2155.71</v>
      </c>
    </row>
    <row r="7" spans="1:5" s="3" customFormat="1" ht="25.5" customHeight="1" x14ac:dyDescent="0.2">
      <c r="A7" s="1">
        <v>3</v>
      </c>
      <c r="B7" s="44"/>
      <c r="C7" s="45"/>
      <c r="D7" s="8" t="s">
        <v>16</v>
      </c>
      <c r="E7" s="9">
        <f t="shared" ref="E7" si="0">E5*E6</f>
        <v>16349038.294020001</v>
      </c>
    </row>
    <row r="11" spans="1:5" x14ac:dyDescent="0.25">
      <c r="D11" s="14" t="s">
        <v>22</v>
      </c>
      <c r="E11" s="14" t="s">
        <v>29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activeCell="E5" sqref="E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6" t="s">
        <v>15</v>
      </c>
      <c r="B1" s="46"/>
      <c r="C1" s="46"/>
      <c r="D1" s="46"/>
      <c r="E1" s="46"/>
    </row>
    <row r="2" spans="1:5" ht="15" customHeight="1" x14ac:dyDescent="0.25">
      <c r="A2" s="46" t="str">
        <f>Январь!$A$2</f>
        <v>за 2020 г.</v>
      </c>
      <c r="B2" s="46"/>
      <c r="C2" s="46"/>
      <c r="D2" s="46"/>
      <c r="E2" s="46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8</v>
      </c>
    </row>
    <row r="5" spans="1:5" s="2" customFormat="1" ht="25.5" customHeight="1" x14ac:dyDescent="0.2">
      <c r="A5" s="1">
        <v>1</v>
      </c>
      <c r="B5" s="42" t="s">
        <v>2</v>
      </c>
      <c r="C5" s="45" t="s">
        <v>20</v>
      </c>
      <c r="D5" s="4" t="s">
        <v>21</v>
      </c>
      <c r="E5" s="5">
        <f>5618008/1000</f>
        <v>5618.0079999999998</v>
      </c>
    </row>
    <row r="6" spans="1:5" s="3" customFormat="1" ht="12.75" customHeight="1" x14ac:dyDescent="0.2">
      <c r="A6" s="1">
        <v>2</v>
      </c>
      <c r="B6" s="43"/>
      <c r="C6" s="45"/>
      <c r="D6" s="6" t="s">
        <v>17</v>
      </c>
      <c r="E6" s="7">
        <f>2.20402*1000</f>
        <v>2204.02</v>
      </c>
    </row>
    <row r="7" spans="1:5" s="3" customFormat="1" ht="25.5" customHeight="1" x14ac:dyDescent="0.2">
      <c r="A7" s="1">
        <v>3</v>
      </c>
      <c r="B7" s="44"/>
      <c r="C7" s="45"/>
      <c r="D7" s="8" t="s">
        <v>16</v>
      </c>
      <c r="E7" s="9">
        <f t="shared" ref="E7" si="0">E5*E6</f>
        <v>12382201.99216</v>
      </c>
    </row>
    <row r="11" spans="1:5" x14ac:dyDescent="0.25">
      <c r="D11" s="14" t="s">
        <v>22</v>
      </c>
      <c r="E11" s="14" t="s">
        <v>30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6" t="s">
        <v>15</v>
      </c>
      <c r="B1" s="46"/>
      <c r="C1" s="46"/>
      <c r="D1" s="46"/>
      <c r="E1" s="46"/>
    </row>
    <row r="2" spans="1:5" ht="15" customHeight="1" x14ac:dyDescent="0.25">
      <c r="A2" s="46" t="str">
        <f>Январь!$A$2</f>
        <v>за 2020 г.</v>
      </c>
      <c r="B2" s="46"/>
      <c r="C2" s="46"/>
      <c r="D2" s="46"/>
      <c r="E2" s="46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9</v>
      </c>
    </row>
    <row r="5" spans="1:5" s="2" customFormat="1" ht="25.5" customHeight="1" x14ac:dyDescent="0.2">
      <c r="A5" s="1">
        <v>1</v>
      </c>
      <c r="B5" s="42" t="s">
        <v>2</v>
      </c>
      <c r="C5" s="45" t="s">
        <v>20</v>
      </c>
      <c r="D5" s="4" t="s">
        <v>21</v>
      </c>
      <c r="E5" s="5">
        <f>9379712/1000</f>
        <v>9379.7119999999995</v>
      </c>
    </row>
    <row r="6" spans="1:5" s="3" customFormat="1" ht="12.75" customHeight="1" x14ac:dyDescent="0.2">
      <c r="A6" s="1">
        <v>2</v>
      </c>
      <c r="B6" s="43"/>
      <c r="C6" s="45"/>
      <c r="D6" s="6" t="s">
        <v>17</v>
      </c>
      <c r="E6" s="7">
        <f>2.39991586943394*1000</f>
        <v>2399.9158694339399</v>
      </c>
    </row>
    <row r="7" spans="1:5" s="3" customFormat="1" ht="25.5" customHeight="1" x14ac:dyDescent="0.2">
      <c r="A7" s="1">
        <v>3</v>
      </c>
      <c r="B7" s="44"/>
      <c r="C7" s="45"/>
      <c r="D7" s="8" t="s">
        <v>16</v>
      </c>
      <c r="E7" s="9">
        <f t="shared" ref="E7" si="0">E5*E6</f>
        <v>22510519.679519959</v>
      </c>
    </row>
    <row r="11" spans="1:5" x14ac:dyDescent="0.25">
      <c r="D11" s="14" t="s">
        <v>22</v>
      </c>
      <c r="E11" s="14" t="s">
        <v>31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sqref="A1:E1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6" t="s">
        <v>15</v>
      </c>
      <c r="B1" s="46"/>
      <c r="C1" s="46"/>
      <c r="D1" s="46"/>
      <c r="E1" s="46"/>
    </row>
    <row r="2" spans="1:5" ht="15" customHeight="1" x14ac:dyDescent="0.25">
      <c r="A2" s="46" t="str">
        <f>Январь!$A$2</f>
        <v>за 2020 г.</v>
      </c>
      <c r="B2" s="46"/>
      <c r="C2" s="46"/>
      <c r="D2" s="46"/>
      <c r="E2" s="46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12" t="s">
        <v>10</v>
      </c>
    </row>
    <row r="5" spans="1:5" s="2" customFormat="1" ht="25.5" customHeight="1" x14ac:dyDescent="0.2">
      <c r="A5" s="1">
        <v>1</v>
      </c>
      <c r="B5" s="42" t="s">
        <v>2</v>
      </c>
      <c r="C5" s="45" t="s">
        <v>20</v>
      </c>
      <c r="D5" s="4" t="s">
        <v>21</v>
      </c>
      <c r="E5" s="5">
        <f>7074315/1000</f>
        <v>7074.3149999999996</v>
      </c>
    </row>
    <row r="6" spans="1:5" s="3" customFormat="1" ht="12.75" customHeight="1" x14ac:dyDescent="0.2">
      <c r="A6" s="1">
        <v>2</v>
      </c>
      <c r="B6" s="43"/>
      <c r="C6" s="45"/>
      <c r="D6" s="6" t="s">
        <v>17</v>
      </c>
      <c r="E6" s="7">
        <f>2.45053*1000</f>
        <v>2450.5300000000002</v>
      </c>
    </row>
    <row r="7" spans="1:5" s="3" customFormat="1" ht="25.5" customHeight="1" x14ac:dyDescent="0.2">
      <c r="A7" s="1">
        <v>3</v>
      </c>
      <c r="B7" s="44"/>
      <c r="C7" s="45"/>
      <c r="D7" s="8" t="s">
        <v>16</v>
      </c>
      <c r="E7" s="9">
        <f t="shared" ref="E7" si="0">E5*E6</f>
        <v>17335821.136950001</v>
      </c>
    </row>
    <row r="11" spans="1:5" x14ac:dyDescent="0.25">
      <c r="D11" s="14" t="s">
        <v>22</v>
      </c>
      <c r="E11" s="27" t="s">
        <v>32</v>
      </c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workbookViewId="0">
      <selection sqref="A1:E1"/>
    </sheetView>
  </sheetViews>
  <sheetFormatPr defaultRowHeight="12.75" x14ac:dyDescent="0.2"/>
  <cols>
    <col min="1" max="1" width="3" style="31" bestFit="1" customWidth="1"/>
    <col min="2" max="2" width="46.7109375" style="31" customWidth="1"/>
    <col min="3" max="3" width="48.28515625" style="31" customWidth="1"/>
    <col min="4" max="4" width="43" style="31" customWidth="1"/>
    <col min="5" max="5" width="18.5703125" style="31" customWidth="1"/>
    <col min="6" max="16384" width="9.140625" style="31"/>
  </cols>
  <sheetData>
    <row r="1" spans="1:5" ht="30" customHeight="1" x14ac:dyDescent="0.2">
      <c r="A1" s="46" t="s">
        <v>15</v>
      </c>
      <c r="B1" s="46"/>
      <c r="C1" s="46"/>
      <c r="D1" s="46"/>
      <c r="E1" s="46"/>
    </row>
    <row r="2" spans="1:5" ht="15" customHeight="1" x14ac:dyDescent="0.2">
      <c r="A2" s="46" t="str">
        <f>Январь!$A$2</f>
        <v>за 2020 г.</v>
      </c>
      <c r="B2" s="46"/>
      <c r="C2" s="46"/>
      <c r="D2" s="46"/>
      <c r="E2" s="46"/>
    </row>
    <row r="4" spans="1:5" s="13" customFormat="1" ht="19.5" customHeight="1" x14ac:dyDescent="0.25">
      <c r="A4" s="10" t="s">
        <v>0</v>
      </c>
      <c r="B4" s="11" t="s">
        <v>19</v>
      </c>
      <c r="C4" s="11" t="s">
        <v>18</v>
      </c>
      <c r="D4" s="11" t="s">
        <v>1</v>
      </c>
      <c r="E4" s="24" t="s">
        <v>11</v>
      </c>
    </row>
    <row r="5" spans="1:5" s="2" customFormat="1" ht="25.5" customHeight="1" x14ac:dyDescent="0.2">
      <c r="A5" s="1">
        <v>1</v>
      </c>
      <c r="B5" s="42" t="s">
        <v>2</v>
      </c>
      <c r="C5" s="45" t="s">
        <v>20</v>
      </c>
      <c r="D5" s="4" t="s">
        <v>21</v>
      </c>
      <c r="E5" s="5">
        <f>7591577/1000</f>
        <v>7591.5770000000002</v>
      </c>
    </row>
    <row r="6" spans="1:5" s="2" customFormat="1" ht="12.75" customHeight="1" x14ac:dyDescent="0.2">
      <c r="A6" s="1">
        <v>2</v>
      </c>
      <c r="B6" s="43"/>
      <c r="C6" s="45"/>
      <c r="D6" s="6" t="s">
        <v>17</v>
      </c>
      <c r="E6" s="7">
        <f>2.63212527512004*1000</f>
        <v>2632.12527512004</v>
      </c>
    </row>
    <row r="7" spans="1:5" s="2" customFormat="1" ht="25.5" customHeight="1" x14ac:dyDescent="0.2">
      <c r="A7" s="1">
        <v>3</v>
      </c>
      <c r="B7" s="44"/>
      <c r="C7" s="45"/>
      <c r="D7" s="8" t="s">
        <v>16</v>
      </c>
      <c r="E7" s="9">
        <f t="shared" ref="E7" si="0">E5*E6</f>
        <v>19981981.699719969</v>
      </c>
    </row>
    <row r="11" spans="1:5" x14ac:dyDescent="0.2">
      <c r="A11" s="46" t="s">
        <v>40</v>
      </c>
      <c r="B11" s="46"/>
      <c r="C11" s="46"/>
      <c r="D11" s="46"/>
      <c r="E11" s="46"/>
    </row>
    <row r="13" spans="1:5" s="13" customFormat="1" ht="19.5" customHeight="1" x14ac:dyDescent="0.25">
      <c r="A13" s="10" t="s">
        <v>0</v>
      </c>
      <c r="B13" s="11" t="s">
        <v>19</v>
      </c>
      <c r="C13" s="11" t="s">
        <v>18</v>
      </c>
      <c r="D13" s="11" t="s">
        <v>1</v>
      </c>
      <c r="E13" s="24" t="s">
        <v>34</v>
      </c>
    </row>
    <row r="14" spans="1:5" s="2" customFormat="1" ht="25.5" customHeight="1" x14ac:dyDescent="0.2">
      <c r="A14" s="1">
        <v>1</v>
      </c>
      <c r="B14" s="42" t="s">
        <v>2</v>
      </c>
      <c r="C14" s="45" t="s">
        <v>20</v>
      </c>
      <c r="D14" s="4" t="s">
        <v>21</v>
      </c>
      <c r="E14" s="5">
        <v>-4.0380000000000003</v>
      </c>
    </row>
    <row r="15" spans="1:5" s="2" customFormat="1" ht="12.75" customHeight="1" x14ac:dyDescent="0.2">
      <c r="A15" s="1">
        <v>2</v>
      </c>
      <c r="B15" s="43"/>
      <c r="C15" s="45"/>
      <c r="D15" s="6" t="s">
        <v>17</v>
      </c>
      <c r="E15" s="7">
        <v>2065.7199999999998</v>
      </c>
    </row>
    <row r="16" spans="1:5" s="2" customFormat="1" ht="25.5" customHeight="1" x14ac:dyDescent="0.2">
      <c r="A16" s="1">
        <v>3</v>
      </c>
      <c r="B16" s="44"/>
      <c r="C16" s="45"/>
      <c r="D16" s="8" t="s">
        <v>16</v>
      </c>
      <c r="E16" s="9">
        <f t="shared" ref="E16" si="1">E14*E15</f>
        <v>-8341.3773600000004</v>
      </c>
    </row>
    <row r="17" spans="1:5" s="2" customFormat="1" ht="7.5" customHeight="1" x14ac:dyDescent="0.2">
      <c r="A17" s="37"/>
      <c r="B17" s="38"/>
      <c r="C17" s="39"/>
      <c r="D17" s="40"/>
      <c r="E17" s="41"/>
    </row>
    <row r="18" spans="1:5" s="13" customFormat="1" ht="19.5" customHeight="1" x14ac:dyDescent="0.25">
      <c r="A18" s="10" t="s">
        <v>0</v>
      </c>
      <c r="B18" s="11" t="s">
        <v>19</v>
      </c>
      <c r="C18" s="11" t="s">
        <v>18</v>
      </c>
      <c r="D18" s="11" t="s">
        <v>1</v>
      </c>
      <c r="E18" s="24" t="s">
        <v>35</v>
      </c>
    </row>
    <row r="19" spans="1:5" s="2" customFormat="1" ht="25.5" customHeight="1" x14ac:dyDescent="0.2">
      <c r="A19" s="1">
        <v>1</v>
      </c>
      <c r="B19" s="42" t="s">
        <v>2</v>
      </c>
      <c r="C19" s="45" t="s">
        <v>20</v>
      </c>
      <c r="D19" s="4" t="s">
        <v>21</v>
      </c>
      <c r="E19" s="5">
        <v>5.8170000000000002</v>
      </c>
    </row>
    <row r="20" spans="1:5" s="2" customFormat="1" ht="12.75" customHeight="1" x14ac:dyDescent="0.2">
      <c r="A20" s="1">
        <v>2</v>
      </c>
      <c r="B20" s="43"/>
      <c r="C20" s="45"/>
      <c r="D20" s="6" t="s">
        <v>17</v>
      </c>
      <c r="E20" s="7">
        <v>1929.9</v>
      </c>
    </row>
    <row r="21" spans="1:5" s="2" customFormat="1" ht="25.5" customHeight="1" x14ac:dyDescent="0.2">
      <c r="A21" s="1">
        <v>3</v>
      </c>
      <c r="B21" s="44"/>
      <c r="C21" s="45"/>
      <c r="D21" s="8" t="s">
        <v>16</v>
      </c>
      <c r="E21" s="9">
        <f t="shared" ref="E21" si="2">E19*E20</f>
        <v>11226.228300000001</v>
      </c>
    </row>
    <row r="22" spans="1:5" s="2" customFormat="1" ht="7.5" customHeight="1" x14ac:dyDescent="0.2">
      <c r="A22" s="37"/>
      <c r="B22" s="38"/>
      <c r="C22" s="39"/>
      <c r="D22" s="40"/>
      <c r="E22" s="41"/>
    </row>
    <row r="23" spans="1:5" s="13" customFormat="1" ht="19.5" customHeight="1" x14ac:dyDescent="0.25">
      <c r="A23" s="10" t="s">
        <v>0</v>
      </c>
      <c r="B23" s="11" t="s">
        <v>19</v>
      </c>
      <c r="C23" s="11" t="s">
        <v>18</v>
      </c>
      <c r="D23" s="11" t="s">
        <v>1</v>
      </c>
      <c r="E23" s="24" t="s">
        <v>36</v>
      </c>
    </row>
    <row r="24" spans="1:5" s="2" customFormat="1" ht="25.5" customHeight="1" x14ac:dyDescent="0.2">
      <c r="A24" s="1">
        <v>1</v>
      </c>
      <c r="B24" s="42" t="s">
        <v>2</v>
      </c>
      <c r="C24" s="45" t="s">
        <v>20</v>
      </c>
      <c r="D24" s="4" t="s">
        <v>21</v>
      </c>
      <c r="E24" s="5">
        <v>-57.304000000000002</v>
      </c>
    </row>
    <row r="25" spans="1:5" s="2" customFormat="1" ht="12.75" customHeight="1" x14ac:dyDescent="0.2">
      <c r="A25" s="1">
        <v>2</v>
      </c>
      <c r="B25" s="43"/>
      <c r="C25" s="45"/>
      <c r="D25" s="6" t="s">
        <v>17</v>
      </c>
      <c r="E25" s="7">
        <v>2225.4499999999998</v>
      </c>
    </row>
    <row r="26" spans="1:5" s="2" customFormat="1" ht="25.5" customHeight="1" x14ac:dyDescent="0.2">
      <c r="A26" s="1">
        <v>3</v>
      </c>
      <c r="B26" s="44"/>
      <c r="C26" s="45"/>
      <c r="D26" s="8" t="s">
        <v>16</v>
      </c>
      <c r="E26" s="9">
        <f t="shared" ref="E26" si="3">E24*E25</f>
        <v>-127527.1868</v>
      </c>
    </row>
    <row r="27" spans="1:5" s="2" customFormat="1" ht="7.5" customHeight="1" x14ac:dyDescent="0.2">
      <c r="A27" s="37"/>
      <c r="B27" s="38"/>
      <c r="C27" s="39"/>
      <c r="D27" s="40"/>
      <c r="E27" s="41"/>
    </row>
    <row r="28" spans="1:5" s="13" customFormat="1" ht="19.5" customHeight="1" x14ac:dyDescent="0.25">
      <c r="A28" s="10" t="s">
        <v>0</v>
      </c>
      <c r="B28" s="11" t="s">
        <v>19</v>
      </c>
      <c r="C28" s="11" t="s">
        <v>18</v>
      </c>
      <c r="D28" s="11" t="s">
        <v>1</v>
      </c>
      <c r="E28" s="24" t="s">
        <v>37</v>
      </c>
    </row>
    <row r="29" spans="1:5" s="2" customFormat="1" ht="25.5" customHeight="1" x14ac:dyDescent="0.2">
      <c r="A29" s="1">
        <v>1</v>
      </c>
      <c r="B29" s="42" t="s">
        <v>2</v>
      </c>
      <c r="C29" s="45" t="s">
        <v>20</v>
      </c>
      <c r="D29" s="4" t="s">
        <v>21</v>
      </c>
      <c r="E29" s="5">
        <v>-1.163</v>
      </c>
    </row>
    <row r="30" spans="1:5" s="2" customFormat="1" ht="12.75" customHeight="1" x14ac:dyDescent="0.2">
      <c r="A30" s="1">
        <v>2</v>
      </c>
      <c r="B30" s="43"/>
      <c r="C30" s="45"/>
      <c r="D30" s="6" t="s">
        <v>17</v>
      </c>
      <c r="E30" s="7">
        <v>2265.91</v>
      </c>
    </row>
    <row r="31" spans="1:5" s="2" customFormat="1" ht="25.5" customHeight="1" x14ac:dyDescent="0.2">
      <c r="A31" s="1">
        <v>3</v>
      </c>
      <c r="B31" s="44"/>
      <c r="C31" s="45"/>
      <c r="D31" s="8" t="s">
        <v>16</v>
      </c>
      <c r="E31" s="9">
        <f t="shared" ref="E31" si="4">E29*E30</f>
        <v>-2635.25333</v>
      </c>
    </row>
    <row r="32" spans="1:5" s="2" customFormat="1" ht="7.5" customHeight="1" x14ac:dyDescent="0.2">
      <c r="A32" s="37"/>
      <c r="B32" s="38"/>
      <c r="C32" s="39"/>
      <c r="D32" s="40"/>
      <c r="E32" s="41"/>
    </row>
    <row r="33" spans="1:5" s="13" customFormat="1" ht="19.5" customHeight="1" x14ac:dyDescent="0.25">
      <c r="A33" s="10" t="s">
        <v>0</v>
      </c>
      <c r="B33" s="11" t="s">
        <v>19</v>
      </c>
      <c r="C33" s="11" t="s">
        <v>18</v>
      </c>
      <c r="D33" s="11" t="s">
        <v>1</v>
      </c>
      <c r="E33" s="24" t="s">
        <v>38</v>
      </c>
    </row>
    <row r="34" spans="1:5" s="2" customFormat="1" ht="25.5" customHeight="1" x14ac:dyDescent="0.2">
      <c r="A34" s="1">
        <v>1</v>
      </c>
      <c r="B34" s="42" t="s">
        <v>2</v>
      </c>
      <c r="C34" s="45" t="s">
        <v>20</v>
      </c>
      <c r="D34" s="4" t="s">
        <v>21</v>
      </c>
      <c r="E34" s="5">
        <v>-0.53</v>
      </c>
    </row>
    <row r="35" spans="1:5" s="2" customFormat="1" ht="12.75" customHeight="1" x14ac:dyDescent="0.2">
      <c r="A35" s="1">
        <v>2</v>
      </c>
      <c r="B35" s="43"/>
      <c r="C35" s="45"/>
      <c r="D35" s="6" t="s">
        <v>17</v>
      </c>
      <c r="E35" s="7">
        <v>2353.9699999999998</v>
      </c>
    </row>
    <row r="36" spans="1:5" s="2" customFormat="1" ht="25.5" customHeight="1" x14ac:dyDescent="0.2">
      <c r="A36" s="1">
        <v>3</v>
      </c>
      <c r="B36" s="44"/>
      <c r="C36" s="45"/>
      <c r="D36" s="8" t="s">
        <v>16</v>
      </c>
      <c r="E36" s="9">
        <f t="shared" ref="E36" si="5">E34*E35</f>
        <v>-1247.6041</v>
      </c>
    </row>
    <row r="37" spans="1:5" s="2" customFormat="1" ht="7.5" customHeight="1" x14ac:dyDescent="0.2">
      <c r="A37" s="37"/>
      <c r="B37" s="38"/>
      <c r="C37" s="39"/>
      <c r="D37" s="40"/>
      <c r="E37" s="41"/>
    </row>
    <row r="38" spans="1:5" s="13" customFormat="1" ht="19.5" customHeight="1" x14ac:dyDescent="0.25">
      <c r="A38" s="10" t="s">
        <v>0</v>
      </c>
      <c r="B38" s="11" t="s">
        <v>19</v>
      </c>
      <c r="C38" s="11" t="s">
        <v>18</v>
      </c>
      <c r="D38" s="11" t="s">
        <v>1</v>
      </c>
      <c r="E38" s="24" t="s">
        <v>39</v>
      </c>
    </row>
    <row r="39" spans="1:5" s="2" customFormat="1" ht="25.5" customHeight="1" x14ac:dyDescent="0.2">
      <c r="A39" s="1">
        <v>1</v>
      </c>
      <c r="B39" s="42" t="s">
        <v>2</v>
      </c>
      <c r="C39" s="45" t="s">
        <v>20</v>
      </c>
      <c r="D39" s="4" t="s">
        <v>21</v>
      </c>
      <c r="E39" s="5">
        <v>-7.4</v>
      </c>
    </row>
    <row r="40" spans="1:5" s="2" customFormat="1" ht="12.75" customHeight="1" x14ac:dyDescent="0.2">
      <c r="A40" s="1">
        <v>2</v>
      </c>
      <c r="B40" s="43"/>
      <c r="C40" s="45"/>
      <c r="D40" s="6" t="s">
        <v>17</v>
      </c>
      <c r="E40" s="7">
        <v>2359.67</v>
      </c>
    </row>
    <row r="41" spans="1:5" s="2" customFormat="1" ht="25.5" customHeight="1" x14ac:dyDescent="0.2">
      <c r="A41" s="1">
        <v>3</v>
      </c>
      <c r="B41" s="44"/>
      <c r="C41" s="45"/>
      <c r="D41" s="8" t="s">
        <v>16</v>
      </c>
      <c r="E41" s="9">
        <f t="shared" ref="E41" si="6">E39*E40</f>
        <v>-17461.558000000001</v>
      </c>
    </row>
    <row r="42" spans="1:5" s="2" customFormat="1" ht="7.5" customHeight="1" x14ac:dyDescent="0.2">
      <c r="A42" s="37"/>
      <c r="B42" s="38"/>
      <c r="C42" s="39"/>
      <c r="D42" s="40"/>
      <c r="E42" s="41"/>
    </row>
    <row r="43" spans="1:5" s="36" customFormat="1" ht="16.5" customHeight="1" x14ac:dyDescent="0.25">
      <c r="A43" s="32" t="s">
        <v>41</v>
      </c>
      <c r="B43" s="33"/>
      <c r="C43" s="33"/>
      <c r="D43" s="34"/>
      <c r="E43" s="35">
        <f>E16+E21+E26+E31+E36+E41</f>
        <v>-145986.75128999999</v>
      </c>
    </row>
    <row r="46" spans="1:5" x14ac:dyDescent="0.2">
      <c r="D46" s="30" t="s">
        <v>22</v>
      </c>
      <c r="E46" s="29" t="s">
        <v>33</v>
      </c>
    </row>
  </sheetData>
  <mergeCells count="17">
    <mergeCell ref="B34:B36"/>
    <mergeCell ref="C34:C36"/>
    <mergeCell ref="B39:B41"/>
    <mergeCell ref="C39:C41"/>
    <mergeCell ref="B19:B21"/>
    <mergeCell ref="C19:C21"/>
    <mergeCell ref="B24:B26"/>
    <mergeCell ref="C24:C26"/>
    <mergeCell ref="B29:B31"/>
    <mergeCell ref="C29:C31"/>
    <mergeCell ref="A1:E1"/>
    <mergeCell ref="A2:E2"/>
    <mergeCell ref="B5:B7"/>
    <mergeCell ref="C5:C7"/>
    <mergeCell ref="B14:B16"/>
    <mergeCell ref="C14:C16"/>
    <mergeCell ref="A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2017-05-11T00:42:58Z</dcterms:created>
  <dcterms:modified xsi:type="dcterms:W3CDTF">2020-12-11T05:50:54Z</dcterms:modified>
</cp:coreProperties>
</file>