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4.3.1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scount" hidden="1">1</definedName>
    <definedName name="buhg_flag">[1]Титульный!$F$36</definedName>
    <definedName name="CHECK_LINK_RANGE_1">"Калькуляция!$I$11:$I$132"</definedName>
    <definedName name="checkCell_List01">#REF!</definedName>
    <definedName name="data_type">[1]TEHSHEET!$M$2:$M$3</definedName>
    <definedName name="dateBuhg">[1]Титульный!$F$37</definedName>
    <definedName name="DESCRIPTION_TERRITORY">[1]REESTR_DS!$B$2:$B$3</definedName>
    <definedName name="et_hor_List01_2">#REF!</definedName>
    <definedName name="et_hor_List01_3">#REF!</definedName>
    <definedName name="et_hor_List01_4">#REF!</definedName>
    <definedName name="et_hor_List01_5">#REF!</definedName>
    <definedName name="et_hor_List01_6">#REF!</definedName>
    <definedName name="et_hor_List01_7">#REF!</definedName>
    <definedName name="et_ver_List01_1">#REF!</definedName>
    <definedName name="f_year">[1]Титульный!$F$20</definedName>
    <definedName name="form_up_date">[1]Титульный!$F$14</definedName>
    <definedName name="kind_of_forms">[1]TEHSHEET!$S$2:$S$7</definedName>
    <definedName name="kind_of_fuels">[1]TEHSHEET!$AB$2:$AB$29</definedName>
    <definedName name="kind_of_nameforms">[1]TEHSHEET!$T$2:$T$7</definedName>
    <definedName name="kind_of_purchase_method">[1]TEHSHEET!$P$2:$P$4</definedName>
    <definedName name="List_01_prov">#REF!</definedName>
    <definedName name="List01_2_reserve">#REF!</definedName>
    <definedName name="List01_3_reserve">#REF!</definedName>
    <definedName name="List01_4_reserve">#REF!</definedName>
    <definedName name="List01_5_reserve">#REF!</definedName>
    <definedName name="List01_6_reserve">#REF!</definedName>
    <definedName name="List01_7_reserve">#REF!</definedName>
    <definedName name="List01_CheckC">#REF!</definedName>
    <definedName name="List01_costs_OPS">#REF!</definedName>
    <definedName name="List01_costs_OPS_22">#REF!</definedName>
    <definedName name="List01_costs_OPS_25">#REF!</definedName>
    <definedName name="List01_costs_OPS_28">#REF!</definedName>
    <definedName name="List01_costs_PH">#REF!</definedName>
    <definedName name="List01_costs_PH_22">#REF!</definedName>
    <definedName name="List01_costs_PH_25">#REF!</definedName>
    <definedName name="List01_costs_PH_28">#REF!</definedName>
    <definedName name="List01_flag_index_1">#REF!</definedName>
    <definedName name="List01_flag_index_2">#REF!</definedName>
    <definedName name="List01_GroundMaterials_1">#REF!</definedName>
    <definedName name="List01_Name">#REF!</definedName>
    <definedName name="List01_Num">#REF!</definedName>
    <definedName name="List01_NumberColumns">#REF!</definedName>
    <definedName name="List01_p1">#REF!</definedName>
    <definedName name="List01_p1_minus_p3">#REF!,#REF!</definedName>
    <definedName name="List01_p11">#REF!</definedName>
    <definedName name="List01_p12">#REF!</definedName>
    <definedName name="List01_p16">#REF!</definedName>
    <definedName name="List01_p16_data">#REF!</definedName>
    <definedName name="List01_p19_20">#REF!</definedName>
    <definedName name="List01_p2_14">#REF!</definedName>
    <definedName name="List01_p3">#REF!</definedName>
    <definedName name="List01_p3_10_check">#REF!</definedName>
    <definedName name="List01_p3_11_check">#REF!</definedName>
    <definedName name="List01_p4">#REF!</definedName>
    <definedName name="List01_p9">#REF!</definedName>
    <definedName name="List01_purchTE">#REF!</definedName>
    <definedName name="List01_revenue_from_activity_80_flag">#REF!</definedName>
    <definedName name="List06_flag_year">'[1]Форма 4.5'!$K$20:$K$27</definedName>
    <definedName name="note_ter">[1]Дифференциация!$I$21:$I$31</definedName>
    <definedName name="obj_List01_22">#REF!</definedName>
    <definedName name="obj_List01_25">#REF!</definedName>
    <definedName name="obj_List01_28">#REF!</definedName>
    <definedName name="org">[1]Титульный!$F$26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2">#REF!</definedName>
    <definedName name="pDel_List01_3">#REF!</definedName>
    <definedName name="pDel_List01_4">#REF!</definedName>
    <definedName name="pDel_List01_7">#REF!</definedName>
    <definedName name="pIns_List01_1">#REF!</definedName>
    <definedName name="pIns_List01_2">#REF!</definedName>
    <definedName name="pIns_List01_3">#REF!</definedName>
    <definedName name="pIns_List01_4">#REF!</definedName>
    <definedName name="pIns_List01_5">#REF!</definedName>
    <definedName name="pIns_List01_6">#REF!</definedName>
    <definedName name="pIns_List01_7">#REF!</definedName>
    <definedName name="PROT_22">P3_PROT_22,P4_PROT_22,P5_PROT_22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75" i="3"/>
  <c r="F74" i="3"/>
  <c r="E73" i="3"/>
  <c r="E74" i="3" s="1"/>
  <c r="F69" i="3"/>
  <c r="F70" i="3" s="1"/>
  <c r="D69" i="3"/>
  <c r="D70" i="3" s="1"/>
  <c r="E68" i="3"/>
  <c r="E69" i="3" s="1"/>
  <c r="E70" i="3" s="1"/>
  <c r="D67" i="3"/>
  <c r="F56" i="3"/>
  <c r="D56" i="3"/>
  <c r="D51" i="3"/>
  <c r="D50" i="3"/>
  <c r="F48" i="3"/>
  <c r="E48" i="3"/>
  <c r="F43" i="3"/>
  <c r="D42" i="3"/>
  <c r="D41" i="3"/>
  <c r="E40" i="3"/>
  <c r="D39" i="3"/>
  <c r="D38" i="3"/>
  <c r="D37" i="3"/>
  <c r="D36" i="3"/>
  <c r="D33" i="3"/>
  <c r="D32" i="3"/>
  <c r="F30" i="3"/>
  <c r="D25" i="3"/>
  <c r="D24" i="3"/>
  <c r="D26" i="3" s="1"/>
  <c r="D20" i="3"/>
  <c r="D19" i="3"/>
  <c r="D15" i="3"/>
  <c r="D14" i="3"/>
  <c r="D16" i="3" s="1"/>
  <c r="E11" i="3"/>
  <c r="F9" i="3"/>
  <c r="E9" i="3"/>
  <c r="D9" i="3"/>
  <c r="E8" i="3"/>
  <c r="D8" i="3"/>
  <c r="E75" i="3" l="1"/>
  <c r="D40" i="3"/>
  <c r="F12" i="3"/>
  <c r="F10" i="3" s="1"/>
  <c r="F54" i="3" s="1"/>
  <c r="F55" i="3" s="1"/>
  <c r="D12" i="3"/>
  <c r="D48" i="3"/>
  <c r="D21" i="3"/>
  <c r="E12" i="3"/>
  <c r="E10" i="3" s="1"/>
  <c r="E54" i="3" s="1"/>
  <c r="E55" i="3" s="1"/>
  <c r="D10" i="3" l="1"/>
  <c r="D54" i="3" s="1"/>
  <c r="D55" i="3" s="1"/>
</calcChain>
</file>

<file path=xl/comments1.xml><?xml version="1.0" encoding="utf-8"?>
<comments xmlns="http://schemas.openxmlformats.org/spreadsheetml/2006/main">
  <authors>
    <author>Автор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E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F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<sst xmlns="http://schemas.openxmlformats.org/spreadsheetml/2006/main" count="257" uniqueCount="169">
  <si>
    <t>тыс. руб.</t>
  </si>
  <si>
    <t>кг у. т./Гкал</t>
  </si>
  <si>
    <t>х</t>
  </si>
  <si>
    <t>объем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</si>
  <si>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</si>
  <si>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</si>
  <si>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</si>
  <si>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</si>
  <si>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Гкал/ч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</si>
  <si>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</si>
  <si>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</si>
  <si>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</si>
  <si>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</si>
  <si>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</si>
  <si>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Комбинированная выработка с уст. мощностью производства электрической энергии 25 МВт и более_x000D_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</si>
  <si>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Вид деятельности:_x000D_
  -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</si>
  <si>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</si>
  <si>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</si>
  <si>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</si>
  <si>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</si>
  <si>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</si>
  <si>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</si>
  <si>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</si>
  <si>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</si>
  <si>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</si>
  <si>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</si>
  <si>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</si>
  <si>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</si>
  <si>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3.2.1</t>
  </si>
  <si>
    <t>газ природный по регулируемой цене</t>
  </si>
  <si>
    <t>тыс м3</t>
  </si>
  <si>
    <t>Прямые договора без торгов</t>
  </si>
  <si>
    <t>3.2.2</t>
  </si>
  <si>
    <t>уголь каменный</t>
  </si>
  <si>
    <t>тонны</t>
  </si>
  <si>
    <t>Торги/аукционы</t>
  </si>
  <si>
    <t>3.2.3</t>
  </si>
  <si>
    <t>мазут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</si>
  <si>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</si>
  <si>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</si>
  <si>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</si>
  <si>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</si>
  <si>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</si>
  <si>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</si>
  <si>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</si>
  <si>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</si>
  <si>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</si>
  <si>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</si>
  <si>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</si>
  <si>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</si>
  <si>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</si>
  <si>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</si>
  <si>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</si>
  <si>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</si>
  <si>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</si>
  <si>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</si>
  <si>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</si>
  <si>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</si>
  <si>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</si>
  <si>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</si>
  <si>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</si>
  <si>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</si>
  <si>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</si>
  <si>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</si>
  <si>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</si>
  <si>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</si>
  <si>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</si>
  <si>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</si>
  <si>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</si>
  <si>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</si>
  <si>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</si>
  <si>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</si>
  <si>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</si>
  <si>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</si>
  <si>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</si>
  <si>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</si>
  <si>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</si>
  <si>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</si>
  <si>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</si>
  <si>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</si>
  <si>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</si>
  <si>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Транспортировка электроэнергии</t>
  </si>
  <si>
    <t>3.15.2</t>
  </si>
  <si>
    <t>Налоги</t>
  </si>
  <si>
    <t>3.15.3</t>
  </si>
  <si>
    <t>Прочие расходы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</si>
  <si>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</si>
  <si>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</si>
  <si>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</si>
  <si>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</si>
  <si>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</si>
  <si>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</si>
  <si>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</si>
  <si>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</si>
  <si>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</si>
  <si>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</si>
  <si>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</si>
  <si>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</si>
  <si>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</si>
  <si>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</si>
  <si>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</si>
  <si>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</si>
  <si>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</si>
  <si>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</si>
  <si>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</si>
  <si>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</si>
  <si>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https://portal.eias.ru/Portal/DownloadPage.aspx?type=12&amp;guid=04702f56-aa70-4888-96ff-c5ccb558abfd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</si>
  <si>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</si>
  <si>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</si>
  <si>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</si>
  <si>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</si>
  <si>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</si>
  <si>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</si>
  <si>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</si>
  <si>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</si>
  <si>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</si>
  <si>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</si>
  <si>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</si>
  <si>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</si>
  <si>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</si>
  <si>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</si>
  <si>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</si>
  <si>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</si>
  <si>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</si>
  <si>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</si>
  <si>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</si>
  <si>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</si>
  <si>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</si>
  <si>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</si>
  <si>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</si>
  <si>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</si>
  <si>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</si>
  <si>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</si>
  <si>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</si>
  <si>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</si>
  <si>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</si>
  <si>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</si>
  <si>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</si>
  <si>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</si>
  <si>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</si>
  <si>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</si>
  <si>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</si>
  <si>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</si>
  <si>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</si>
  <si>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</si>
  <si>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</si>
  <si>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</si>
  <si>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</si>
  <si>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</si>
  <si>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</si>
  <si>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</si>
  <si>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</si>
  <si>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</si>
  <si>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</si>
  <si>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</si>
  <si>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</si>
  <si>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</si>
  <si>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3.2.1.1</t>
  </si>
  <si>
    <t>3.2.1.2</t>
  </si>
  <si>
    <t>3.2.1.3</t>
  </si>
  <si>
    <t>3.2.1.4</t>
  </si>
  <si>
    <t>3.2.2.1</t>
  </si>
  <si>
    <t>3.2.2.2</t>
  </si>
  <si>
    <t>3.2.2.3</t>
  </si>
  <si>
    <t>3.2.2.4</t>
  </si>
  <si>
    <t>3.2.3.1</t>
  </si>
  <si>
    <t>3.2.3.2</t>
  </si>
  <si>
    <t>3.2.3.3</t>
  </si>
  <si>
    <t>3.2.3.4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</si>
</sst>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5" applyBorder="0">
      <alignment horizontal="center" vertical="center" wrapText="1"/>
    </xf>
    <xf numFmtId="49" fontId="4" fillId="0" borderId="0" applyBorder="0">
      <alignment vertical="top"/>
    </xf>
    <xf numFmtId="49" fontId="12" fillId="6" borderId="0" applyBorder="0">
      <alignment vertical="top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Alignment="1" applyProtection="1">
      <alignment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9" fillId="0" borderId="6" xfId="3" applyNumberFormat="1" applyFont="1" applyFill="1" applyBorder="1" applyAlignment="1" applyProtection="1">
      <alignment horizontal="center" vertical="center" wrapText="1"/>
    </xf>
    <xf numFmtId="0" fontId="9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1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3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8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49" fontId="11" fillId="5" borderId="7" xfId="4" applyFont="1" applyFill="1" applyBorder="1" applyAlignment="1" applyProtection="1">
      <alignment horizontal="left" vertical="center" indent="1"/>
    </xf>
    <xf numFmtId="49" fontId="13" fillId="3" borderId="1" xfId="7" applyNumberFormat="1" applyFill="1" applyBorder="1" applyAlignment="1" applyProtection="1">
      <alignment horizontal="left" vertical="center" wrapText="1"/>
      <protection locked="0"/>
    </xf>
    <xf numFmtId="0" fontId="6" fillId="0" borderId="0" xfId="2" applyFont="1" applyBorder="1" applyAlignment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69;&#1085;&#1077;&#1088;&#1075;&#1086;&#1058;&#1088;&#1072;&#1085;&#1079;&#1080;&#1090;\FAS.JKH.OPEN.INFO.BALANCE.WARM\FAS.JKH.OPEN.INFO.BALANCE.WARM(v2.0)%20&#1069;&#1058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0;&#1072;&#1082;&#1090;\&#1041;&#1072;&#1083;&#1072;&#1085;&#1089;%202021%20&#1092;&#1072;&#1082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0;&#1072;&#1082;&#1090;\&#1053;&#1048;&#1058;\&#1053;&#1048;&#1058;_&#1060;&#1072;&#1082;&#1090;_&#1082;&#1072;&#1083;&#1100;&#1082;&#1091;&#1083;&#1103;&#1094;&#1080;&#1103;_12%20&#1084;&#1077;&#1089;_2021_&#1069;&#1085;&#1077;&#1088;&#1075;&#1086;&#1058;&#1088;&#1072;&#1085;&#1079;&#1080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_&#1060;&#1069;&#1059;\___&#1069;&#1085;&#1077;&#1088;&#1075;&#1086;&#1058;&#1088;&#1072;&#1085;&#1079;&#1080;&#1090;\2023\2.%20&#1058;&#1077;&#1087;&#1083;&#1086;\___&#1057;&#1084;&#1077;&#1090;&#1072;,%20&#1076;&#1086;&#1083;&#1075;&#1086;&#1089;&#1088;&#1086;&#1095;&#1085;&#1099;&#1077;%20&#1092;&#1086;&#1088;&#1084;&#1099;%20%202021-2023%20&#1082;&#1086;&#1088;&#1088;&#1077;&#1082;&#1090;&#1080;&#1088;&#1086;&#1074;&#1082;&#1072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0;&#1072;&#1082;&#1090;\&#1056;&#1077;&#1072;&#1083;&#1080;&#1079;&#1072;&#1094;&#1080;&#1103;%20&#1086;&#1090;%20&#1041;&#1083;&#1080;&#1085;&#1082;&#1086;&#1074;&#1086;&#1081;\&#1088;&#1077;&#1072;&#1083;&#1080;&#1079;&#1072;&#1094;&#1080;&#1103;%202021_&#1086;&#1090;%20&#1062;&#1058;&#1069;&#1062;%20%20&#1089;%20&#1074;&#1099;&#1076;&#1077;&#1083;%20&#1045;&#1042;&#1056;&#1040;&#1047;%20&#1089;%20&#1089;&#1091;&#1084;&#1084;&#1086;&#1081;%20&#1087;&#1088;&#1086;&#1075;&#1085;&#1086;&#1079;%20&#1076;&#1077;&#1082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3">
          <cell r="B3" t="str">
            <v>Версия 2.0</v>
          </cell>
        </row>
      </sheetData>
      <sheetData sheetId="3"/>
      <sheetData sheetId="4">
        <row r="7">
          <cell r="F7" t="str">
            <v>Кемеровская область</v>
          </cell>
        </row>
        <row r="14">
          <cell r="F14" t="str">
            <v>29.04.2022</v>
          </cell>
        </row>
        <row r="20">
          <cell r="F20">
            <v>2021</v>
          </cell>
        </row>
        <row r="26">
          <cell r="F26" t="str">
            <v>ООО "ЭнергоТранзит"</v>
          </cell>
        </row>
        <row r="36">
          <cell r="F36" t="str">
            <v>да</v>
          </cell>
        </row>
        <row r="37">
          <cell r="F37" t="str">
            <v>30.03.2022</v>
          </cell>
        </row>
      </sheetData>
      <sheetData sheetId="5"/>
      <sheetData sheetId="6">
        <row r="24">
          <cell r="I24" t="str">
            <v/>
          </cell>
        </row>
        <row r="27">
          <cell r="I27" t="str">
            <v/>
          </cell>
        </row>
        <row r="30">
          <cell r="I30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  <row r="25">
          <cell r="K25" t="str">
            <v>i</v>
          </cell>
        </row>
        <row r="76">
          <cell r="F76" t="str">
            <v>9.16.2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">
          <cell r="B3" t="str">
            <v>город Новокузнецк, город Новокузнецк (32731000);</v>
          </cell>
        </row>
      </sheetData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очие энергоресурсы"/>
    </sheetNames>
    <sheetDataSet>
      <sheetData sheetId="0">
        <row r="8">
          <cell r="B8">
            <v>173277.26300000001</v>
          </cell>
          <cell r="C8">
            <v>136103.55299999999</v>
          </cell>
          <cell r="D8">
            <v>118014.284</v>
          </cell>
          <cell r="E8">
            <v>92513.625</v>
          </cell>
          <cell r="F8">
            <v>46238.765999999996</v>
          </cell>
          <cell r="G8">
            <v>13015.175999999999</v>
          </cell>
          <cell r="H8">
            <v>17875.427999999996</v>
          </cell>
          <cell r="I8">
            <v>17768.868000000002</v>
          </cell>
          <cell r="J8">
            <v>46009.712</v>
          </cell>
          <cell r="K8">
            <v>91358.683999999994</v>
          </cell>
          <cell r="L8">
            <v>125135.36400000002</v>
          </cell>
          <cell r="M8">
            <v>135527.98000000001</v>
          </cell>
          <cell r="N8">
            <v>1012838.7029999999</v>
          </cell>
        </row>
        <row r="16">
          <cell r="N16">
            <v>41517.095000000001</v>
          </cell>
        </row>
        <row r="20">
          <cell r="N20">
            <v>1054355.798</v>
          </cell>
        </row>
        <row r="22">
          <cell r="N22">
            <v>1070234.8640000001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ЭП"/>
      <sheetName val="Смета"/>
      <sheetName val="мощность"/>
      <sheetName val="электроэнергия"/>
      <sheetName val="тепловая энергия"/>
      <sheetName val="пар"/>
      <sheetName val="УПВ"/>
      <sheetName val="теплоноситель"/>
      <sheetName val="вода 1 вп"/>
      <sheetName val="ПЛК"/>
    </sheetNames>
    <sheetDataSet>
      <sheetData sheetId="0"/>
      <sheetData sheetId="1"/>
      <sheetData sheetId="2">
        <row r="6">
          <cell r="E6">
            <v>4453.1941906395887</v>
          </cell>
          <cell r="J6">
            <v>3768256.2369159651</v>
          </cell>
          <cell r="L6">
            <v>399858.97477298987</v>
          </cell>
        </row>
        <row r="8">
          <cell r="E8">
            <v>18515.306813505762</v>
          </cell>
          <cell r="J8">
            <v>3980206.4045402016</v>
          </cell>
          <cell r="L8">
            <v>422349.53045732208</v>
          </cell>
        </row>
        <row r="10">
          <cell r="E10">
            <v>5066.8385267454132</v>
          </cell>
          <cell r="J10">
            <v>773112219.67151725</v>
          </cell>
          <cell r="L10">
            <v>39833899.784488946</v>
          </cell>
        </row>
        <row r="24">
          <cell r="J24">
            <v>2892582.6739428323</v>
          </cell>
          <cell r="L24">
            <v>152381.5206011319</v>
          </cell>
        </row>
        <row r="34">
          <cell r="J34">
            <v>3310800.1500000004</v>
          </cell>
          <cell r="L34">
            <v>38386.629999999997</v>
          </cell>
        </row>
        <row r="90">
          <cell r="J90">
            <v>171999.38999999998</v>
          </cell>
          <cell r="L90">
            <v>11425.67</v>
          </cell>
        </row>
        <row r="91">
          <cell r="J91">
            <v>21171198.490000002</v>
          </cell>
          <cell r="L91">
            <v>394798.92</v>
          </cell>
        </row>
        <row r="92">
          <cell r="J92">
            <v>23664854.539999999</v>
          </cell>
          <cell r="L92">
            <v>1473927.13</v>
          </cell>
        </row>
        <row r="98">
          <cell r="J98">
            <v>2075460.1900000002</v>
          </cell>
          <cell r="L98">
            <v>51599.95</v>
          </cell>
        </row>
        <row r="100">
          <cell r="J100">
            <v>775490.61</v>
          </cell>
          <cell r="L100">
            <v>39302.769999999997</v>
          </cell>
        </row>
        <row r="101">
          <cell r="J101">
            <v>11253697.350000001</v>
          </cell>
          <cell r="L101">
            <v>570350.74000000011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лгосрочные формы УПВ"/>
      <sheetName val="Долгосрочные формы ХВО"/>
      <sheetName val="Долгосрочные формы ТЭ"/>
      <sheetName val="4.6 ТЭ"/>
      <sheetName val="4.6 ХОВ"/>
      <sheetName val="4.6 УПВ"/>
      <sheetName val="НВВ_тепловая энергия"/>
      <sheetName val="4.6 ТЭ "/>
      <sheetName val="2.1"/>
      <sheetName val="2.7"/>
      <sheetName val="2.10"/>
      <sheetName val="4.1 тепло"/>
      <sheetName val="4.2 ХОВ"/>
      <sheetName val="4.2 УПВ"/>
      <sheetName val="4.4"/>
      <sheetName val="4.5"/>
      <sheetName val="2.5 Смета"/>
      <sheetName val="Приложение 4.7"/>
      <sheetName val="4.8 воздух"/>
      <sheetName val="4.8 вода 1 вп "/>
      <sheetName val="4.8 вода 2 вп "/>
      <sheetName val="4.8 вода 3 вп"/>
      <sheetName val="4.8 водоотведение"/>
      <sheetName val="4.8 ПЛК 1 выпуск"/>
      <sheetName val="Транспортировка электро"/>
      <sheetName val="Транзит электро"/>
      <sheetName val="расчетная ПП "/>
    </sheetNames>
    <sheetDataSet>
      <sheetData sheetId="0"/>
      <sheetData sheetId="1"/>
      <sheetData sheetId="2">
        <row r="78">
          <cell r="G78">
            <v>25962.00086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ловая энергия"/>
      <sheetName val="пар, хол.вода, УПВ"/>
    </sheetNames>
    <sheetDataSet>
      <sheetData sheetId="0">
        <row r="5">
          <cell r="G5">
            <v>105929.09329788786</v>
          </cell>
          <cell r="K5">
            <v>4456.6799999999994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F88"/>
  <sheetViews>
    <sheetView tabSelected="1" view="pageBreakPreview" zoomScaleNormal="100" zoomScaleSheetLayoutView="100" workbookViewId="0">
      <selection activeCell="G10" sqref="G10"/>
    </sheetView>
  </sheetViews>
  <sheetFormatPr defaultColWidth="22.140625" defaultRowHeight="15" x14ac:dyDescent="0.25"/>
  <cols>
    <col min="1" max="1" width="7" customWidth="1"/>
    <col min="2" max="2" width="34.28515625" bestFit="1" customWidth="1"/>
    <col min="3" max="3" width="14.140625" customWidth="1"/>
  </cols>
  <sheetData>
    <row r="1" spans="1:6" ht="45" customHeight="1" x14ac:dyDescent="0.25">
      <c r="A1" s="48" t="s">
        <v>9</v>
      </c>
      <c r="B1" s="48"/>
      <c r="C1" s="48"/>
      <c r="D1" s="48"/>
      <c r="E1" s="48"/>
      <c r="F1" s="48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12">
        <v>22</v>
      </c>
      <c r="E3" s="12">
        <v>25</v>
      </c>
      <c r="F3" s="12">
        <v>28</v>
      </c>
    </row>
    <row r="4" spans="1:6" x14ac:dyDescent="0.25">
      <c r="A4" s="13" t="s">
        <v>10</v>
      </c>
      <c r="B4" s="13"/>
      <c r="C4" s="13"/>
      <c r="D4" s="13"/>
      <c r="E4" s="2"/>
      <c r="F4" s="2"/>
    </row>
    <row r="5" spans="1:6" ht="204" customHeight="1" x14ac:dyDescent="0.25">
      <c r="A5" s="13" t="s">
        <v>11</v>
      </c>
      <c r="B5" s="14" t="s">
        <v>12</v>
      </c>
      <c r="C5" s="14" t="s">
        <v>13</v>
      </c>
      <c r="D5" s="15" t="s">
        <v>14</v>
      </c>
      <c r="E5" s="15" t="s">
        <v>15</v>
      </c>
      <c r="F5" s="15" t="s">
        <v>16</v>
      </c>
    </row>
    <row r="6" spans="1:6" x14ac:dyDescent="0.25">
      <c r="A6" s="13"/>
      <c r="B6" s="14"/>
      <c r="C6" s="14"/>
      <c r="D6" s="16" t="s">
        <v>17</v>
      </c>
      <c r="E6" s="16" t="s">
        <v>17</v>
      </c>
      <c r="F6" s="16" t="s">
        <v>17</v>
      </c>
    </row>
    <row r="7" spans="1:6" x14ac:dyDescent="0.25">
      <c r="A7" s="17" t="s">
        <v>18</v>
      </c>
      <c r="B7" s="17" t="s">
        <v>19</v>
      </c>
      <c r="C7" s="17" t="s">
        <v>20</v>
      </c>
      <c r="D7" s="18">
        <v>4</v>
      </c>
      <c r="E7" s="18">
        <v>5</v>
      </c>
      <c r="F7" s="18">
        <v>6</v>
      </c>
    </row>
    <row r="8" spans="1:6" ht="22.5" x14ac:dyDescent="0.25">
      <c r="A8" s="5" t="s">
        <v>18</v>
      </c>
      <c r="B8" s="19" t="s">
        <v>21</v>
      </c>
      <c r="C8" s="2" t="s">
        <v>2</v>
      </c>
      <c r="D8" s="20" t="str">
        <f>IF(buhg_flag="да",IF(dateBuhg="","Не указана",dateBuhg),"Не осуществлялась")</f>
        <v>30.03.2022</v>
      </c>
      <c r="E8" s="20" t="str">
        <f>IF(buhg_flag="да",IF(dateBuhg="","Не указана",dateBuhg),"Не осуществлялась")</f>
        <v>30.03.2022</v>
      </c>
      <c r="F8" s="20" t="str">
        <f>IF(buhg_flag="да",IF(dateBuhg="","Не указана",dateBuhg),"Не осуществлялась")</f>
        <v>30.03.2022</v>
      </c>
    </row>
    <row r="9" spans="1:6" ht="22.5" x14ac:dyDescent="0.25">
      <c r="A9" s="5" t="s">
        <v>19</v>
      </c>
      <c r="B9" s="19" t="s">
        <v>22</v>
      </c>
      <c r="C9" s="2" t="s">
        <v>0</v>
      </c>
      <c r="D9" s="21">
        <f>(([2]Баланс!$B$8+[2]Баланс!$C$8+[2]Баланс!$D$8+[2]Баланс!$E$8+[2]Баланс!$F$8+[2]Баланс!$G$8)*1121.36+([2]Баланс!$H$8+[2]Баланс!$I$8+[2]Баланс!$J$8+[2]Баланс!$K$8+[2]Баланс!$L$8+[2]Баланс!$M$8)*1199.86+[2]Баланс!$N$16*1236.2)/1000</f>
        <v>1221123.8096610797</v>
      </c>
      <c r="E9" s="21">
        <f>(4291780.38+1618943383.02)/1000/1.2+427919577.6/1000</f>
        <v>1780615.5471000001</v>
      </c>
      <c r="F9" s="21">
        <f>144233.98838/1.2+5303.82779/1.2</f>
        <v>124614.84680833333</v>
      </c>
    </row>
    <row r="10" spans="1:6" ht="33.75" x14ac:dyDescent="0.25">
      <c r="A10" s="5" t="s">
        <v>20</v>
      </c>
      <c r="B10" s="19" t="s">
        <v>23</v>
      </c>
      <c r="C10" s="2" t="s">
        <v>0</v>
      </c>
      <c r="D10" s="22">
        <f>SUM(D11:D12,D29,D32:D40,D43,D46,D48)</f>
        <v>280266.2377857485</v>
      </c>
      <c r="E10" s="22">
        <f>SUM(E11:E12,E29,E32:E40,E43,E46,E48)</f>
        <v>1629630.4076720797</v>
      </c>
      <c r="F10" s="22">
        <f>SUM(F11:F12,F29,F32:F40,F43,F46,F48)</f>
        <v>101947.58491999999</v>
      </c>
    </row>
    <row r="11" spans="1:6" ht="22.5" x14ac:dyDescent="0.25">
      <c r="A11" s="5" t="s">
        <v>24</v>
      </c>
      <c r="B11" s="23" t="s">
        <v>25</v>
      </c>
      <c r="C11" s="2" t="s">
        <v>0</v>
      </c>
      <c r="D11" s="21">
        <v>0</v>
      </c>
      <c r="E11" s="21">
        <f>(([2]Баланс!$B$8+[2]Баланс!$C$8+[2]Баланс!$D$8+[2]Баланс!$E$8+[2]Баланс!$F$8+[2]Баланс!$G$8)*1121.36+([2]Баланс!$H$8+[2]Баланс!$I$8+[2]Баланс!$J$8+[2]Баланс!$K$8+[2]Баланс!$L$8+[2]Баланс!$M$8)*1199.86)/1000</f>
        <v>1169800.3768220798</v>
      </c>
      <c r="F11" s="21">
        <v>29603.47206</v>
      </c>
    </row>
    <row r="12" spans="1:6" x14ac:dyDescent="0.25">
      <c r="A12" s="5" t="s">
        <v>26</v>
      </c>
      <c r="B12" s="23" t="s">
        <v>27</v>
      </c>
      <c r="C12" s="2" t="s">
        <v>0</v>
      </c>
      <c r="D12" s="22">
        <f>SUMIF($E13:$E28,#REF!,D13:D28)</f>
        <v>0</v>
      </c>
      <c r="E12" s="22">
        <f>SUMIF($E13:$E28,#REF!,E13:E28)</f>
        <v>0</v>
      </c>
      <c r="F12" s="22">
        <f>SUMIF($E13:$E28,#REF!,F13:F28)</f>
        <v>0</v>
      </c>
    </row>
    <row r="13" spans="1:6" ht="22.5" x14ac:dyDescent="0.25">
      <c r="A13" s="5" t="s">
        <v>28</v>
      </c>
      <c r="B13" s="8" t="s">
        <v>29</v>
      </c>
      <c r="C13" s="2" t="s">
        <v>2</v>
      </c>
      <c r="D13" s="2" t="s">
        <v>2</v>
      </c>
      <c r="E13" s="2" t="s">
        <v>2</v>
      </c>
      <c r="F13" s="2" t="s">
        <v>2</v>
      </c>
    </row>
    <row r="14" spans="1:6" x14ac:dyDescent="0.25">
      <c r="A14" s="7" t="s">
        <v>157</v>
      </c>
      <c r="B14" s="9" t="s">
        <v>3</v>
      </c>
      <c r="C14" s="10" t="s">
        <v>30</v>
      </c>
      <c r="D14" s="3">
        <f>([3]Смета!$J$10+[3]Смета!$L$10)/[3]Смета!$E$10</f>
        <v>160444.44976188862</v>
      </c>
      <c r="E14" s="3">
        <v>0</v>
      </c>
      <c r="F14" s="3"/>
    </row>
    <row r="15" spans="1:6" x14ac:dyDescent="0.25">
      <c r="A15" s="7" t="s">
        <v>158</v>
      </c>
      <c r="B15" s="9" t="s">
        <v>4</v>
      </c>
      <c r="C15" s="2" t="s">
        <v>0</v>
      </c>
      <c r="D15" s="3">
        <f>([3]Смета!$E$10-133.99)/1000</f>
        <v>4.9328485267454134</v>
      </c>
      <c r="E15" s="3">
        <v>0</v>
      </c>
      <c r="F15" s="3"/>
    </row>
    <row r="16" spans="1:6" x14ac:dyDescent="0.25">
      <c r="A16" s="7" t="s">
        <v>159</v>
      </c>
      <c r="B16" s="9" t="s">
        <v>5</v>
      </c>
      <c r="C16" s="2" t="s">
        <v>0</v>
      </c>
      <c r="D16" s="3">
        <f>133.99*D14/1000</f>
        <v>21497.951823595457</v>
      </c>
      <c r="E16" s="3">
        <v>0</v>
      </c>
      <c r="F16" s="3"/>
    </row>
    <row r="17" spans="1:6" ht="22.5" x14ac:dyDescent="0.25">
      <c r="A17" s="7" t="s">
        <v>160</v>
      </c>
      <c r="B17" s="9" t="s">
        <v>6</v>
      </c>
      <c r="C17" s="2" t="s">
        <v>2</v>
      </c>
      <c r="D17" s="11" t="s">
        <v>31</v>
      </c>
      <c r="E17" s="11"/>
      <c r="F17" s="11"/>
    </row>
    <row r="18" spans="1:6" x14ac:dyDescent="0.25">
      <c r="A18" s="5" t="s">
        <v>32</v>
      </c>
      <c r="B18" s="8" t="s">
        <v>33</v>
      </c>
      <c r="C18" s="2" t="s">
        <v>2</v>
      </c>
      <c r="D18" s="2" t="s">
        <v>2</v>
      </c>
      <c r="E18" s="2" t="s">
        <v>2</v>
      </c>
      <c r="F18" s="2" t="s">
        <v>2</v>
      </c>
    </row>
    <row r="19" spans="1:6" x14ac:dyDescent="0.25">
      <c r="A19" s="7" t="s">
        <v>161</v>
      </c>
      <c r="B19" s="9" t="s">
        <v>3</v>
      </c>
      <c r="C19" s="10" t="s">
        <v>34</v>
      </c>
      <c r="D19" s="3">
        <f>([3]Смета!$J$6+[3]Смета!$L$6)/[3]Смета!$E$6</f>
        <v>935.98325903912814</v>
      </c>
      <c r="E19" s="3">
        <v>0</v>
      </c>
      <c r="F19" s="3"/>
    </row>
    <row r="20" spans="1:6" x14ac:dyDescent="0.25">
      <c r="A20" s="7" t="s">
        <v>162</v>
      </c>
      <c r="B20" s="9" t="s">
        <v>4</v>
      </c>
      <c r="C20" s="2" t="s">
        <v>0</v>
      </c>
      <c r="D20" s="3">
        <f>([3]Смета!$E$6-212)/1000</f>
        <v>4.2411941906395887</v>
      </c>
      <c r="E20" s="3">
        <v>0</v>
      </c>
      <c r="F20" s="3"/>
    </row>
    <row r="21" spans="1:6" x14ac:dyDescent="0.25">
      <c r="A21" s="7" t="s">
        <v>163</v>
      </c>
      <c r="B21" s="9" t="s">
        <v>5</v>
      </c>
      <c r="C21" s="2" t="s">
        <v>0</v>
      </c>
      <c r="D21" s="3">
        <f>212*D19/1000</f>
        <v>198.42845091629516</v>
      </c>
      <c r="E21" s="3">
        <v>0</v>
      </c>
      <c r="F21" s="3"/>
    </row>
    <row r="22" spans="1:6" x14ac:dyDescent="0.25">
      <c r="A22" s="7" t="s">
        <v>164</v>
      </c>
      <c r="B22" s="9" t="s">
        <v>6</v>
      </c>
      <c r="C22" s="2" t="s">
        <v>2</v>
      </c>
      <c r="D22" s="11" t="s">
        <v>35</v>
      </c>
      <c r="E22" s="11"/>
      <c r="F22" s="11"/>
    </row>
    <row r="23" spans="1:6" x14ac:dyDescent="0.25">
      <c r="A23" s="5" t="s">
        <v>36</v>
      </c>
      <c r="B23" s="8" t="s">
        <v>37</v>
      </c>
      <c r="C23" s="2" t="s">
        <v>2</v>
      </c>
      <c r="D23" s="2" t="s">
        <v>2</v>
      </c>
      <c r="E23" s="2" t="s">
        <v>2</v>
      </c>
      <c r="F23" s="2" t="s">
        <v>2</v>
      </c>
    </row>
    <row r="24" spans="1:6" x14ac:dyDescent="0.25">
      <c r="A24" s="7" t="s">
        <v>165</v>
      </c>
      <c r="B24" s="9" t="s">
        <v>3</v>
      </c>
      <c r="C24" s="10" t="s">
        <v>34</v>
      </c>
      <c r="D24" s="3">
        <f>([3]Смета!$J$8+[3]Смета!$L$8)/[3]Смета!$E$8</f>
        <v>237.77925903912833</v>
      </c>
      <c r="E24" s="3">
        <v>0</v>
      </c>
      <c r="F24" s="3"/>
    </row>
    <row r="25" spans="1:6" x14ac:dyDescent="0.25">
      <c r="A25" s="7" t="s">
        <v>166</v>
      </c>
      <c r="B25" s="9" t="s">
        <v>4</v>
      </c>
      <c r="C25" s="2" t="s">
        <v>0</v>
      </c>
      <c r="D25" s="3">
        <f>([3]Смета!$E$8-72.72)/1000</f>
        <v>18.442586813505759</v>
      </c>
      <c r="E25" s="3">
        <v>0</v>
      </c>
      <c r="F25" s="3"/>
    </row>
    <row r="26" spans="1:6" x14ac:dyDescent="0.25">
      <c r="A26" s="7" t="s">
        <v>167</v>
      </c>
      <c r="B26" s="9" t="s">
        <v>5</v>
      </c>
      <c r="C26" s="2" t="s">
        <v>0</v>
      </c>
      <c r="D26" s="3">
        <f>D24*72.72/1000</f>
        <v>17.291307717325413</v>
      </c>
      <c r="E26" s="3">
        <v>0</v>
      </c>
      <c r="F26" s="3"/>
    </row>
    <row r="27" spans="1:6" x14ac:dyDescent="0.25">
      <c r="A27" s="7" t="s">
        <v>168</v>
      </c>
      <c r="B27" s="9" t="s">
        <v>6</v>
      </c>
      <c r="C27" s="2" t="s">
        <v>2</v>
      </c>
      <c r="D27" s="11" t="s">
        <v>35</v>
      </c>
      <c r="E27" s="11"/>
      <c r="F27" s="11"/>
    </row>
    <row r="28" spans="1:6" x14ac:dyDescent="0.25">
      <c r="A28" s="24"/>
      <c r="B28" s="25" t="s">
        <v>38</v>
      </c>
      <c r="C28" s="26"/>
      <c r="D28" s="27"/>
      <c r="E28" s="27"/>
      <c r="F28" s="27"/>
    </row>
    <row r="29" spans="1:6" ht="45" x14ac:dyDescent="0.25">
      <c r="A29" s="5" t="s">
        <v>39</v>
      </c>
      <c r="B29" s="23" t="s">
        <v>40</v>
      </c>
      <c r="C29" s="2" t="s">
        <v>0</v>
      </c>
      <c r="D29" s="21">
        <v>0</v>
      </c>
      <c r="E29" s="21">
        <v>0</v>
      </c>
      <c r="F29" s="21">
        <v>5919.0845799999997</v>
      </c>
    </row>
    <row r="30" spans="1:6" ht="22.5" x14ac:dyDescent="0.25">
      <c r="A30" s="5" t="s">
        <v>41</v>
      </c>
      <c r="B30" s="28" t="s">
        <v>42</v>
      </c>
      <c r="C30" s="2" t="s">
        <v>43</v>
      </c>
      <c r="D30" s="21">
        <v>0</v>
      </c>
      <c r="E30" s="21">
        <v>0</v>
      </c>
      <c r="F30" s="21">
        <f>F29/F31</f>
        <v>4.3962956817540366</v>
      </c>
    </row>
    <row r="31" spans="1:6" ht="22.5" x14ac:dyDescent="0.25">
      <c r="A31" s="5" t="s">
        <v>44</v>
      </c>
      <c r="B31" s="28" t="s">
        <v>45</v>
      </c>
      <c r="C31" s="2" t="s">
        <v>46</v>
      </c>
      <c r="D31" s="29">
        <v>0</v>
      </c>
      <c r="E31" s="29">
        <v>0</v>
      </c>
      <c r="F31" s="29">
        <v>1346.38</v>
      </c>
    </row>
    <row r="32" spans="1:6" ht="33.75" x14ac:dyDescent="0.25">
      <c r="A32" s="5" t="s">
        <v>47</v>
      </c>
      <c r="B32" s="23" t="s">
        <v>48</v>
      </c>
      <c r="C32" s="2" t="s">
        <v>0</v>
      </c>
      <c r="D32" s="21">
        <f>'[4]Долгосрочные формы ТЭ'!$G$78</f>
        <v>25962.00086</v>
      </c>
      <c r="E32" s="21">
        <v>0</v>
      </c>
      <c r="F32" s="21">
        <v>0</v>
      </c>
    </row>
    <row r="33" spans="1:6" ht="33.75" x14ac:dyDescent="0.25">
      <c r="A33" s="5" t="s">
        <v>49</v>
      </c>
      <c r="B33" s="23" t="s">
        <v>50</v>
      </c>
      <c r="C33" s="2" t="s">
        <v>0</v>
      </c>
      <c r="D33" s="21">
        <f>([3]Смета!$J$24+[3]Смета!$L$24)/1000</f>
        <v>3044.9641945439644</v>
      </c>
      <c r="E33" s="21">
        <v>0</v>
      </c>
      <c r="F33" s="21">
        <v>0</v>
      </c>
    </row>
    <row r="34" spans="1:6" ht="22.5" x14ac:dyDescent="0.25">
      <c r="A34" s="5" t="s">
        <v>51</v>
      </c>
      <c r="B34" s="23" t="s">
        <v>52</v>
      </c>
      <c r="C34" s="2" t="s">
        <v>0</v>
      </c>
      <c r="D34" s="21">
        <v>0</v>
      </c>
      <c r="E34" s="21">
        <v>0</v>
      </c>
      <c r="F34" s="21">
        <v>13431.43838</v>
      </c>
    </row>
    <row r="35" spans="1:6" ht="33.75" x14ac:dyDescent="0.25">
      <c r="A35" s="5" t="s">
        <v>53</v>
      </c>
      <c r="B35" s="23" t="s">
        <v>54</v>
      </c>
      <c r="C35" s="2" t="s">
        <v>0</v>
      </c>
      <c r="D35" s="21">
        <v>0</v>
      </c>
      <c r="E35" s="21">
        <v>0</v>
      </c>
      <c r="F35" s="21">
        <v>4123.2886099999996</v>
      </c>
    </row>
    <row r="36" spans="1:6" ht="33.75" x14ac:dyDescent="0.25">
      <c r="A36" s="5" t="s">
        <v>55</v>
      </c>
      <c r="B36" s="23" t="s">
        <v>56</v>
      </c>
      <c r="C36" s="2" t="s">
        <v>0</v>
      </c>
      <c r="D36" s="21">
        <f>(1588508.68+60271.52)/1000</f>
        <v>1648.7801999999999</v>
      </c>
      <c r="E36" s="21">
        <v>0</v>
      </c>
      <c r="F36" s="21">
        <v>746.61082999999996</v>
      </c>
    </row>
    <row r="37" spans="1:6" ht="33.75" x14ac:dyDescent="0.25">
      <c r="A37" s="5" t="s">
        <v>57</v>
      </c>
      <c r="B37" s="23" t="s">
        <v>58</v>
      </c>
      <c r="C37" s="2" t="s">
        <v>0</v>
      </c>
      <c r="D37" s="21">
        <f>(475601.4+18045.36)/1000</f>
        <v>493.64676000000003</v>
      </c>
      <c r="E37" s="21">
        <v>0</v>
      </c>
      <c r="F37" s="21">
        <v>222.74462</v>
      </c>
    </row>
    <row r="38" spans="1:6" ht="22.5" x14ac:dyDescent="0.25">
      <c r="A38" s="5" t="s">
        <v>59</v>
      </c>
      <c r="B38" s="23" t="s">
        <v>60</v>
      </c>
      <c r="C38" s="2" t="s">
        <v>0</v>
      </c>
      <c r="D38" s="21">
        <f>([3]Смета!$J$98+[3]Смета!$L$98)/1000</f>
        <v>2127.06014</v>
      </c>
      <c r="E38" s="21">
        <v>0</v>
      </c>
      <c r="F38" s="21">
        <v>62.599519999999998</v>
      </c>
    </row>
    <row r="39" spans="1:6" ht="33.75" x14ac:dyDescent="0.25">
      <c r="A39" s="5" t="s">
        <v>61</v>
      </c>
      <c r="B39" s="23" t="s">
        <v>62</v>
      </c>
      <c r="C39" s="2" t="s">
        <v>0</v>
      </c>
      <c r="D39" s="21">
        <f>([3]Смета!$J$100+[3]Смета!$J$101+[3]Смета!$L$100+[3]Смета!$L$101)/1000</f>
        <v>12638.841470000001</v>
      </c>
      <c r="E39" s="21">
        <v>0</v>
      </c>
      <c r="F39" s="21">
        <v>0</v>
      </c>
    </row>
    <row r="40" spans="1:6" ht="22.5" x14ac:dyDescent="0.25">
      <c r="A40" s="5" t="s">
        <v>63</v>
      </c>
      <c r="B40" s="23" t="s">
        <v>64</v>
      </c>
      <c r="C40" s="2" t="s">
        <v>0</v>
      </c>
      <c r="D40" s="21">
        <f>D41+D42</f>
        <v>46888.204140000002</v>
      </c>
      <c r="E40" s="21">
        <f>459830030.85/1000</f>
        <v>459830.03085000004</v>
      </c>
      <c r="F40" s="21">
        <v>0</v>
      </c>
    </row>
    <row r="41" spans="1:6" x14ac:dyDescent="0.25">
      <c r="A41" s="5" t="s">
        <v>65</v>
      </c>
      <c r="B41" s="28" t="s">
        <v>66</v>
      </c>
      <c r="C41" s="2" t="s">
        <v>0</v>
      </c>
      <c r="D41" s="21">
        <f>([3]Смета!$J$90+[3]Смета!$L$90+[3]Смета!$L$91+[3]Смета!$J$91)/1000</f>
        <v>21749.422470000001</v>
      </c>
      <c r="E41" s="21">
        <v>0</v>
      </c>
      <c r="F41" s="21">
        <v>0</v>
      </c>
    </row>
    <row r="42" spans="1:6" x14ac:dyDescent="0.25">
      <c r="A42" s="5" t="s">
        <v>67</v>
      </c>
      <c r="B42" s="28" t="s">
        <v>68</v>
      </c>
      <c r="C42" s="2" t="s">
        <v>0</v>
      </c>
      <c r="D42" s="21">
        <f>([3]Смета!$J$92+[3]Смета!$L$92)/1000</f>
        <v>25138.781669999997</v>
      </c>
      <c r="E42" s="21">
        <v>0</v>
      </c>
      <c r="F42" s="21">
        <v>0</v>
      </c>
    </row>
    <row r="43" spans="1:6" ht="22.5" x14ac:dyDescent="0.25">
      <c r="A43" s="5" t="s">
        <v>69</v>
      </c>
      <c r="B43" s="23" t="s">
        <v>70</v>
      </c>
      <c r="C43" s="2" t="s">
        <v>0</v>
      </c>
      <c r="D43" s="21">
        <v>0</v>
      </c>
      <c r="E43" s="21">
        <v>0</v>
      </c>
      <c r="F43" s="21">
        <f>7877.10826-F36-F37</f>
        <v>6907.75281</v>
      </c>
    </row>
    <row r="44" spans="1:6" x14ac:dyDescent="0.25">
      <c r="A44" s="5" t="s">
        <v>71</v>
      </c>
      <c r="B44" s="28" t="s">
        <v>66</v>
      </c>
      <c r="C44" s="2" t="s">
        <v>0</v>
      </c>
      <c r="D44" s="21">
        <v>0</v>
      </c>
      <c r="E44" s="21">
        <v>0</v>
      </c>
      <c r="F44" s="21">
        <v>0</v>
      </c>
    </row>
    <row r="45" spans="1:6" x14ac:dyDescent="0.25">
      <c r="A45" s="5" t="s">
        <v>72</v>
      </c>
      <c r="B45" s="28" t="s">
        <v>68</v>
      </c>
      <c r="C45" s="2" t="s">
        <v>0</v>
      </c>
      <c r="D45" s="21">
        <v>0</v>
      </c>
      <c r="E45" s="21">
        <v>0</v>
      </c>
      <c r="F45" s="21">
        <v>0</v>
      </c>
    </row>
    <row r="46" spans="1:6" ht="56.25" x14ac:dyDescent="0.25">
      <c r="A46" s="30" t="s">
        <v>73</v>
      </c>
      <c r="B46" s="23" t="s">
        <v>74</v>
      </c>
      <c r="C46" s="31" t="s">
        <v>0</v>
      </c>
      <c r="D46" s="21">
        <v>0</v>
      </c>
      <c r="E46" s="21">
        <v>0</v>
      </c>
      <c r="F46" s="21">
        <v>3647.3937299999998</v>
      </c>
    </row>
    <row r="47" spans="1:6" ht="78.75" x14ac:dyDescent="0.25">
      <c r="A47" s="32"/>
      <c r="B47" s="28" t="s">
        <v>75</v>
      </c>
      <c r="C47" s="33"/>
      <c r="D47" s="34" t="s">
        <v>76</v>
      </c>
      <c r="E47" s="34" t="s">
        <v>76</v>
      </c>
      <c r="F47" s="34" t="s">
        <v>76</v>
      </c>
    </row>
    <row r="48" spans="1:6" ht="33.75" x14ac:dyDescent="0.25">
      <c r="A48" s="35" t="s">
        <v>77</v>
      </c>
      <c r="B48" s="36" t="s">
        <v>78</v>
      </c>
      <c r="C48" s="37" t="s">
        <v>0</v>
      </c>
      <c r="D48" s="38">
        <f>SUM(D49:D53)</f>
        <v>187462.74002120452</v>
      </c>
      <c r="E48" s="38">
        <f>SUM(E49:E53)</f>
        <v>0</v>
      </c>
      <c r="F48" s="38">
        <f>SUM(F49:F53)</f>
        <v>37283.199780000003</v>
      </c>
    </row>
    <row r="49" spans="1:6" x14ac:dyDescent="0.25">
      <c r="A49" s="1" t="s">
        <v>79</v>
      </c>
      <c r="B49" s="28"/>
      <c r="C49" s="2"/>
      <c r="D49" s="39"/>
      <c r="E49" s="39"/>
      <c r="F49" s="39"/>
    </row>
    <row r="50" spans="1:6" ht="22.5" x14ac:dyDescent="0.25">
      <c r="A50" s="1" t="s">
        <v>80</v>
      </c>
      <c r="B50" s="40" t="s">
        <v>81</v>
      </c>
      <c r="C50" s="2" t="s">
        <v>0</v>
      </c>
      <c r="D50" s="3">
        <f>([3]Смета!$J$34+[3]Смета!$L$34)/1000</f>
        <v>3349.1867800000005</v>
      </c>
      <c r="E50" s="3">
        <v>0</v>
      </c>
      <c r="F50" s="3"/>
    </row>
    <row r="51" spans="1:6" x14ac:dyDescent="0.25">
      <c r="A51" s="1" t="s">
        <v>82</v>
      </c>
      <c r="B51" s="40" t="s">
        <v>83</v>
      </c>
      <c r="C51" s="2" t="s">
        <v>0</v>
      </c>
      <c r="D51" s="3">
        <f>(12893.86+873.96)/1000</f>
        <v>13.76782</v>
      </c>
      <c r="E51" s="3">
        <v>0</v>
      </c>
      <c r="F51" s="3"/>
    </row>
    <row r="52" spans="1:6" x14ac:dyDescent="0.25">
      <c r="A52" s="1" t="s">
        <v>84</v>
      </c>
      <c r="B52" s="40" t="s">
        <v>85</v>
      </c>
      <c r="C52" s="2" t="s">
        <v>0</v>
      </c>
      <c r="D52" s="3">
        <v>184099.78542120452</v>
      </c>
      <c r="E52" s="3">
        <v>0</v>
      </c>
      <c r="F52" s="3">
        <v>37283.199780000003</v>
      </c>
    </row>
    <row r="53" spans="1:6" x14ac:dyDescent="0.25">
      <c r="A53" s="24"/>
      <c r="B53" s="25" t="s">
        <v>86</v>
      </c>
      <c r="C53" s="26"/>
      <c r="D53" s="27"/>
      <c r="E53" s="27"/>
      <c r="F53" s="27"/>
    </row>
    <row r="54" spans="1:6" ht="33.75" x14ac:dyDescent="0.25">
      <c r="A54" s="5" t="s">
        <v>87</v>
      </c>
      <c r="B54" s="19" t="s">
        <v>88</v>
      </c>
      <c r="C54" s="2" t="s">
        <v>0</v>
      </c>
      <c r="D54" s="21">
        <f>D9-D10</f>
        <v>940857.57187533122</v>
      </c>
      <c r="E54" s="21">
        <f>E9-E10</f>
        <v>150985.13942792034</v>
      </c>
      <c r="F54" s="21">
        <f>F9-F10</f>
        <v>22667.261888333334</v>
      </c>
    </row>
    <row r="55" spans="1:6" ht="33.75" x14ac:dyDescent="0.25">
      <c r="A55" s="5" t="s">
        <v>89</v>
      </c>
      <c r="B55" s="19" t="s">
        <v>90</v>
      </c>
      <c r="C55" s="2" t="s">
        <v>0</v>
      </c>
      <c r="D55" s="21">
        <f>D54</f>
        <v>940857.57187533122</v>
      </c>
      <c r="E55" s="21">
        <f>E54</f>
        <v>150985.13942792034</v>
      </c>
      <c r="F55" s="21">
        <f>F54</f>
        <v>22667.261888333334</v>
      </c>
    </row>
    <row r="56" spans="1:6" ht="56.25" x14ac:dyDescent="0.25">
      <c r="A56" s="5" t="s">
        <v>91</v>
      </c>
      <c r="B56" s="23" t="s">
        <v>92</v>
      </c>
      <c r="C56" s="2" t="s">
        <v>0</v>
      </c>
      <c r="D56" s="21" t="str">
        <f>'[1]Форма 4.5'!F76</f>
        <v>9.16.2</v>
      </c>
      <c r="E56" s="21">
        <v>0</v>
      </c>
      <c r="F56" s="21">
        <f>'[1]Форма 4.5'!L76</f>
        <v>0</v>
      </c>
    </row>
    <row r="57" spans="1:6" ht="22.5" x14ac:dyDescent="0.25">
      <c r="A57" s="5" t="s">
        <v>93</v>
      </c>
      <c r="B57" s="19" t="s">
        <v>94</v>
      </c>
      <c r="C57" s="2" t="s">
        <v>0</v>
      </c>
      <c r="D57" s="21">
        <v>0</v>
      </c>
      <c r="E57" s="21">
        <v>0</v>
      </c>
      <c r="F57" s="21">
        <v>0</v>
      </c>
    </row>
    <row r="58" spans="1:6" ht="45" x14ac:dyDescent="0.25">
      <c r="A58" s="5" t="s">
        <v>95</v>
      </c>
      <c r="B58" s="23" t="s">
        <v>96</v>
      </c>
      <c r="C58" s="2" t="s">
        <v>0</v>
      </c>
      <c r="D58" s="21">
        <v>0</v>
      </c>
      <c r="E58" s="21">
        <v>0</v>
      </c>
      <c r="F58" s="21">
        <v>0</v>
      </c>
    </row>
    <row r="59" spans="1:6" ht="33.75" x14ac:dyDescent="0.25">
      <c r="A59" s="5" t="s">
        <v>97</v>
      </c>
      <c r="B59" s="28" t="s">
        <v>98</v>
      </c>
      <c r="C59" s="2" t="s">
        <v>0</v>
      </c>
      <c r="D59" s="21">
        <v>0</v>
      </c>
      <c r="E59" s="21">
        <v>0</v>
      </c>
      <c r="F59" s="21">
        <v>0</v>
      </c>
    </row>
    <row r="60" spans="1:6" ht="33.75" x14ac:dyDescent="0.25">
      <c r="A60" s="5" t="s">
        <v>99</v>
      </c>
      <c r="B60" s="28" t="s">
        <v>100</v>
      </c>
      <c r="C60" s="2" t="s">
        <v>0</v>
      </c>
      <c r="D60" s="21">
        <v>0</v>
      </c>
      <c r="E60" s="21">
        <v>0</v>
      </c>
      <c r="F60" s="21">
        <v>0</v>
      </c>
    </row>
    <row r="61" spans="1:6" ht="22.5" x14ac:dyDescent="0.25">
      <c r="A61" s="5" t="s">
        <v>101</v>
      </c>
      <c r="B61" s="23" t="s">
        <v>102</v>
      </c>
      <c r="C61" s="2" t="s">
        <v>0</v>
      </c>
      <c r="D61" s="21">
        <v>0</v>
      </c>
      <c r="E61" s="21">
        <v>0</v>
      </c>
      <c r="F61" s="21">
        <v>0</v>
      </c>
    </row>
    <row r="62" spans="1:6" ht="56.25" x14ac:dyDescent="0.25">
      <c r="A62" s="5" t="s">
        <v>103</v>
      </c>
      <c r="B62" s="19" t="s">
        <v>104</v>
      </c>
      <c r="C62" s="2" t="s">
        <v>105</v>
      </c>
      <c r="D62" s="41" t="s">
        <v>106</v>
      </c>
      <c r="E62" s="41" t="s">
        <v>106</v>
      </c>
      <c r="F62" s="41" t="s">
        <v>106</v>
      </c>
    </row>
    <row r="63" spans="1:6" ht="56.25" x14ac:dyDescent="0.25">
      <c r="A63" s="5" t="s">
        <v>107</v>
      </c>
      <c r="B63" s="19" t="s">
        <v>108</v>
      </c>
      <c r="C63" s="2" t="s">
        <v>8</v>
      </c>
      <c r="D63" s="21">
        <v>0</v>
      </c>
      <c r="E63" s="21">
        <v>0</v>
      </c>
      <c r="F63" s="21">
        <v>0</v>
      </c>
    </row>
    <row r="64" spans="1:6" x14ac:dyDescent="0.25">
      <c r="A64" s="42" t="s">
        <v>109</v>
      </c>
      <c r="B64" s="43"/>
      <c r="C64" s="44"/>
      <c r="D64" s="45"/>
      <c r="E64" s="45"/>
      <c r="F64" s="45"/>
    </row>
    <row r="65" spans="1:6" x14ac:dyDescent="0.25">
      <c r="A65" s="24"/>
      <c r="B65" s="46" t="s">
        <v>110</v>
      </c>
      <c r="C65" s="26"/>
      <c r="D65" s="27"/>
      <c r="E65" s="27"/>
      <c r="F65" s="27"/>
    </row>
    <row r="66" spans="1:6" ht="33.75" x14ac:dyDescent="0.25">
      <c r="A66" s="5" t="s">
        <v>111</v>
      </c>
      <c r="B66" s="23" t="s">
        <v>112</v>
      </c>
      <c r="C66" s="2" t="s">
        <v>8</v>
      </c>
      <c r="D66" s="21">
        <v>0</v>
      </c>
      <c r="E66" s="21">
        <v>0</v>
      </c>
      <c r="F66" s="21">
        <v>970.70391999999993</v>
      </c>
    </row>
    <row r="67" spans="1:6" ht="22.5" x14ac:dyDescent="0.25">
      <c r="A67" s="5" t="s">
        <v>113</v>
      </c>
      <c r="B67" s="23" t="s">
        <v>114</v>
      </c>
      <c r="C67" s="2" t="s">
        <v>115</v>
      </c>
      <c r="D67" s="29">
        <f>[2]Баланс!$N$22/1000</f>
        <v>1070.234864</v>
      </c>
      <c r="E67" s="29">
        <v>0</v>
      </c>
      <c r="F67" s="29">
        <v>0</v>
      </c>
    </row>
    <row r="68" spans="1:6" ht="22.5" x14ac:dyDescent="0.25">
      <c r="A68" s="5" t="s">
        <v>116</v>
      </c>
      <c r="B68" s="23" t="s">
        <v>117</v>
      </c>
      <c r="C68" s="2" t="s">
        <v>115</v>
      </c>
      <c r="D68" s="6">
        <v>0</v>
      </c>
      <c r="E68" s="6">
        <f>[2]Баланс!$N$8/1000</f>
        <v>1012.8387029999999</v>
      </c>
      <c r="F68" s="6">
        <v>0</v>
      </c>
    </row>
    <row r="69" spans="1:6" ht="33.75" x14ac:dyDescent="0.25">
      <c r="A69" s="5" t="s">
        <v>118</v>
      </c>
      <c r="B69" s="23" t="s">
        <v>119</v>
      </c>
      <c r="C69" s="2" t="s">
        <v>115</v>
      </c>
      <c r="D69" s="29">
        <f>[2]Баланс!$N$20/1000</f>
        <v>1054.355798</v>
      </c>
      <c r="E69" s="29">
        <f>E68</f>
        <v>1012.8387029999999</v>
      </c>
      <c r="F69" s="29">
        <f>315.53039+11.60281</f>
        <v>327.13319999999999</v>
      </c>
    </row>
    <row r="70" spans="1:6" ht="33.75" x14ac:dyDescent="0.25">
      <c r="A70" s="5" t="s">
        <v>120</v>
      </c>
      <c r="B70" s="28" t="s">
        <v>121</v>
      </c>
      <c r="C70" s="2" t="s">
        <v>115</v>
      </c>
      <c r="D70" s="29">
        <f>D69</f>
        <v>1054.355798</v>
      </c>
      <c r="E70" s="29">
        <f>E69</f>
        <v>1012.8387029999999</v>
      </c>
      <c r="F70" s="29">
        <f>F69</f>
        <v>327.13319999999999</v>
      </c>
    </row>
    <row r="71" spans="1:6" ht="78.75" x14ac:dyDescent="0.25">
      <c r="A71" s="5" t="s">
        <v>122</v>
      </c>
      <c r="B71" s="9" t="s">
        <v>123</v>
      </c>
      <c r="C71" s="2" t="s">
        <v>115</v>
      </c>
      <c r="D71" s="29">
        <v>0</v>
      </c>
      <c r="E71" s="29">
        <v>0</v>
      </c>
      <c r="F71" s="29">
        <v>0</v>
      </c>
    </row>
    <row r="72" spans="1:6" ht="33.75" x14ac:dyDescent="0.25">
      <c r="A72" s="5" t="s">
        <v>124</v>
      </c>
      <c r="B72" s="23" t="s">
        <v>125</v>
      </c>
      <c r="C72" s="2" t="s">
        <v>115</v>
      </c>
      <c r="D72" s="29">
        <v>0</v>
      </c>
      <c r="E72" s="29">
        <v>0</v>
      </c>
      <c r="F72" s="29">
        <v>0</v>
      </c>
    </row>
    <row r="73" spans="1:6" ht="33.75" x14ac:dyDescent="0.25">
      <c r="A73" s="5" t="s">
        <v>126</v>
      </c>
      <c r="B73" s="19" t="s">
        <v>127</v>
      </c>
      <c r="C73" s="2" t="s">
        <v>128</v>
      </c>
      <c r="D73" s="21">
        <v>0</v>
      </c>
      <c r="E73" s="21">
        <f>'[5]тепловая энергия'!$G$5+'[5]тепловая энергия'!$K$5</f>
        <v>110385.77329788785</v>
      </c>
      <c r="F73" s="21">
        <v>235.79599999999999</v>
      </c>
    </row>
    <row r="74" spans="1:6" ht="33.75" x14ac:dyDescent="0.25">
      <c r="A74" s="5" t="s">
        <v>129</v>
      </c>
      <c r="B74" s="19" t="s">
        <v>130</v>
      </c>
      <c r="C74" s="2" t="s">
        <v>131</v>
      </c>
      <c r="D74" s="21">
        <v>0</v>
      </c>
      <c r="E74" s="21">
        <f>E73</f>
        <v>110385.77329788785</v>
      </c>
      <c r="F74" s="21">
        <f>41.976897+2.036129</f>
        <v>44.013026000000004</v>
      </c>
    </row>
    <row r="75" spans="1:6" ht="22.5" x14ac:dyDescent="0.25">
      <c r="A75" s="5" t="s">
        <v>132</v>
      </c>
      <c r="B75" s="23" t="s">
        <v>133</v>
      </c>
      <c r="C75" s="2" t="s">
        <v>131</v>
      </c>
      <c r="D75" s="21">
        <v>0</v>
      </c>
      <c r="E75" s="21">
        <f>E73</f>
        <v>110385.77329788785</v>
      </c>
      <c r="F75" s="21">
        <f>F73</f>
        <v>235.79599999999999</v>
      </c>
    </row>
    <row r="76" spans="1:6" ht="33.75" x14ac:dyDescent="0.25">
      <c r="A76" s="5" t="s">
        <v>134</v>
      </c>
      <c r="B76" s="19" t="s">
        <v>135</v>
      </c>
      <c r="C76" s="2" t="s">
        <v>136</v>
      </c>
      <c r="D76" s="21">
        <v>0</v>
      </c>
      <c r="E76" s="21">
        <v>0</v>
      </c>
      <c r="F76" s="21">
        <v>0</v>
      </c>
    </row>
    <row r="77" spans="1:6" ht="33.75" x14ac:dyDescent="0.25">
      <c r="A77" s="5" t="s">
        <v>137</v>
      </c>
      <c r="B77" s="19" t="s">
        <v>138</v>
      </c>
      <c r="C77" s="2" t="s">
        <v>136</v>
      </c>
      <c r="D77" s="21">
        <v>0</v>
      </c>
      <c r="E77" s="21">
        <v>0</v>
      </c>
      <c r="F77" s="21">
        <v>0</v>
      </c>
    </row>
    <row r="78" spans="1:6" ht="78.75" x14ac:dyDescent="0.25">
      <c r="A78" s="5" t="s">
        <v>139</v>
      </c>
      <c r="B78" s="19" t="s">
        <v>140</v>
      </c>
      <c r="C78" s="2" t="s">
        <v>1</v>
      </c>
      <c r="D78" s="29">
        <v>181.4</v>
      </c>
      <c r="E78" s="29">
        <v>0</v>
      </c>
      <c r="F78" s="29">
        <v>0</v>
      </c>
    </row>
    <row r="79" spans="1:6" x14ac:dyDescent="0.25">
      <c r="A79" s="24"/>
      <c r="B79" s="46" t="s">
        <v>110</v>
      </c>
      <c r="C79" s="26"/>
      <c r="D79" s="27"/>
      <c r="E79" s="27"/>
      <c r="F79" s="27"/>
    </row>
    <row r="80" spans="1:6" ht="56.25" x14ac:dyDescent="0.25">
      <c r="A80" s="5" t="s">
        <v>141</v>
      </c>
      <c r="B80" s="19" t="s">
        <v>142</v>
      </c>
      <c r="C80" s="2" t="s">
        <v>7</v>
      </c>
      <c r="D80" s="29">
        <v>181.4</v>
      </c>
      <c r="E80" s="29">
        <v>0</v>
      </c>
      <c r="F80" s="29">
        <v>0</v>
      </c>
    </row>
    <row r="81" spans="1:6" x14ac:dyDescent="0.25">
      <c r="A81" s="24"/>
      <c r="B81" s="46" t="s">
        <v>110</v>
      </c>
      <c r="C81" s="26"/>
      <c r="D81" s="27"/>
      <c r="E81" s="27"/>
      <c r="F81" s="27"/>
    </row>
    <row r="82" spans="1:6" ht="56.25" x14ac:dyDescent="0.25">
      <c r="A82" s="5" t="s">
        <v>143</v>
      </c>
      <c r="B82" s="19" t="s">
        <v>144</v>
      </c>
      <c r="C82" s="2" t="s">
        <v>7</v>
      </c>
      <c r="D82" s="29">
        <v>176.9</v>
      </c>
      <c r="E82" s="29">
        <v>0</v>
      </c>
      <c r="F82" s="29">
        <v>0</v>
      </c>
    </row>
    <row r="83" spans="1:6" x14ac:dyDescent="0.25">
      <c r="A83" s="24"/>
      <c r="B83" s="46" t="s">
        <v>110</v>
      </c>
      <c r="C83" s="26"/>
      <c r="D83" s="27"/>
      <c r="E83" s="27"/>
      <c r="F83" s="27"/>
    </row>
    <row r="84" spans="1:6" ht="56.25" x14ac:dyDescent="0.25">
      <c r="A84" s="5" t="s">
        <v>145</v>
      </c>
      <c r="B84" s="19" t="s">
        <v>146</v>
      </c>
      <c r="C84" s="2" t="s">
        <v>147</v>
      </c>
      <c r="D84" s="21">
        <v>0</v>
      </c>
      <c r="E84" s="21">
        <v>0</v>
      </c>
      <c r="F84" s="21">
        <v>0</v>
      </c>
    </row>
    <row r="85" spans="1:6" ht="45" x14ac:dyDescent="0.25">
      <c r="A85" s="5" t="s">
        <v>148</v>
      </c>
      <c r="B85" s="19" t="s">
        <v>149</v>
      </c>
      <c r="C85" s="2" t="s">
        <v>150</v>
      </c>
      <c r="D85" s="21">
        <v>0</v>
      </c>
      <c r="E85" s="21">
        <v>0</v>
      </c>
      <c r="F85" s="21">
        <v>0</v>
      </c>
    </row>
    <row r="86" spans="1:6" ht="112.5" x14ac:dyDescent="0.25">
      <c r="A86" s="5" t="s">
        <v>151</v>
      </c>
      <c r="B86" s="19" t="s">
        <v>152</v>
      </c>
      <c r="C86" s="2" t="s">
        <v>105</v>
      </c>
      <c r="D86" s="47"/>
      <c r="E86" s="47"/>
      <c r="F86" s="47"/>
    </row>
    <row r="87" spans="1:6" ht="56.25" x14ac:dyDescent="0.25">
      <c r="A87" s="5" t="s">
        <v>153</v>
      </c>
      <c r="B87" s="23" t="s">
        <v>154</v>
      </c>
      <c r="C87" s="2" t="s">
        <v>105</v>
      </c>
      <c r="D87" s="47"/>
      <c r="E87" s="47"/>
      <c r="F87" s="47"/>
    </row>
    <row r="88" spans="1:6" ht="33.75" x14ac:dyDescent="0.25">
      <c r="A88" s="5" t="s">
        <v>155</v>
      </c>
      <c r="B88" s="23" t="s">
        <v>156</v>
      </c>
      <c r="C88" s="2" t="s">
        <v>105</v>
      </c>
      <c r="D88" s="47"/>
      <c r="E88" s="47"/>
      <c r="F88" s="47"/>
    </row>
  </sheetData>
  <mergeCells count="7">
    <mergeCell ref="A1:F1"/>
    <mergeCell ref="A4:D4"/>
    <mergeCell ref="A5:A6"/>
    <mergeCell ref="B5:B6"/>
    <mergeCell ref="C5:C6"/>
    <mergeCell ref="A46:A47"/>
    <mergeCell ref="C46:C47"/>
  </mergeCells>
  <dataValidations count="9">
    <dataValidation type="decimal" allowBlank="1" showErrorMessage="1" errorTitle="Ошибка" error="Допускается ввод только неотрицательных чисел!" sqref="D48:F48 D56:F56 D29:F46 D11:F11 D67:F72 D9:F9 D14:F16 D19:F21 D24:F26 D50:F52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4 C19 C24">
      <formula1>900</formula1>
    </dataValidation>
    <dataValidation type="decimal" allowBlank="1" showErrorMessage="1" errorTitle="Ошибка" error="Допускается ввод только действительных чисел!" sqref="D73:F78 D80:F80 D82:F82 D66:F66 D63:F63 D57:F61 D84:F85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D49:F49 B50:B52">
      <formula1>900</formula1>
    </dataValidation>
    <dataValidation type="decimal" allowBlank="1" showErrorMessage="1" errorTitle="Ошибка" error="Допускается ввод только действительных чисел!" sqref="D54:F5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62:F62 D86:F88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D47:F47"/>
    <dataValidation type="list" allowBlank="1" showInputMessage="1" showErrorMessage="1" errorTitle="Ошибка" error="Выберите значение из списка" prompt="Выберите значение из списка" sqref="B13 B18 B23">
      <formula1>kind_of_fuels</formula1>
    </dataValidation>
    <dataValidation type="list" allowBlank="1" showInputMessage="1" showErrorMessage="1" errorTitle="Ошибка" error="Выберите значение из списка" prompt="Выберите значение из списка" sqref="D17:F17 D22:F22 D27:F27">
      <formula1>kind_of_purchase_method</formula1>
    </dataValidation>
  </dataValidations>
  <hyperlinks>
    <hyperlink ref="D62" location="'Форма 4.3.1'!$G$92" tooltip="Кликните по гиперссылке, чтобы перейти по гиперссылке или отредактировать её" display="https://portal.eias.ru/Portal/DownloadPage.aspx?type=12&amp;guid=04702f56-aa70-4888-96ff-c5ccb558abfd"/>
    <hyperlink ref="E62" location="'Форма 4.3.1'!$H$92" tooltip="Кликните по гиперссылке, чтобы перейти по гиперссылке или отредактировать её" display="https://portal.eias.ru/Portal/DownloadPage.aspx?type=12&amp;guid=04702f56-aa70-4888-96ff-c5ccb558abfd"/>
    <hyperlink ref="F62" location="'Форма 4.3.1'!$I$92" tooltip="Кликните по гиперссылке, чтобы перейти по гиперссылке или отредактировать её" display="https://portal.eias.ru/Portal/DownloadPage.aspx?type=12&amp;guid=04702f56-aa70-4888-96ff-c5ccb558abfd"/>
  </hyperlinks>
  <pageMargins left="0.7" right="0.7" top="0.75" bottom="0.75" header="0.3" footer="0.3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2022-05-05T02:26:52Z</dcterms:modified>
</cp:coreProperties>
</file>