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2\ГЭС\Раскрытие на сайте\"/>
    </mc:Choice>
  </mc:AlternateContent>
  <bookViews>
    <workbookView xWindow="-15" yWindow="45" windowWidth="14520" windowHeight="12795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11" i="15" l="1"/>
  <c r="E10" i="15"/>
  <c r="E12" i="15" l="1"/>
  <c r="E6" i="15"/>
  <c r="E5" i="15" l="1"/>
  <c r="E11" i="13" l="1"/>
  <c r="E10" i="13"/>
  <c r="E12" i="13"/>
  <c r="E11" i="12"/>
  <c r="E10" i="12"/>
  <c r="E12" i="12"/>
  <c r="E6" i="14" l="1"/>
  <c r="E5" i="14"/>
  <c r="E6" i="13" l="1"/>
  <c r="E5" i="13"/>
  <c r="E135" i="12" l="1"/>
  <c r="E134" i="12"/>
  <c r="E130" i="12"/>
  <c r="E129" i="12"/>
  <c r="E125" i="12"/>
  <c r="E124" i="12"/>
  <c r="E120" i="12"/>
  <c r="E119" i="12"/>
  <c r="E115" i="12"/>
  <c r="E114" i="12"/>
  <c r="E110" i="12"/>
  <c r="E109" i="12"/>
  <c r="E105" i="12"/>
  <c r="E104" i="12"/>
  <c r="E106" i="12" s="1"/>
  <c r="E100" i="12"/>
  <c r="E99" i="12"/>
  <c r="E136" i="12"/>
  <c r="E131" i="12"/>
  <c r="E126" i="12"/>
  <c r="E121" i="12"/>
  <c r="E116" i="12"/>
  <c r="E111" i="12"/>
  <c r="E101" i="12"/>
  <c r="E93" i="12"/>
  <c r="E92" i="12"/>
  <c r="E88" i="12"/>
  <c r="E87" i="12"/>
  <c r="E83" i="12"/>
  <c r="E82" i="12"/>
  <c r="E78" i="12"/>
  <c r="E79" i="12" s="1"/>
  <c r="E77" i="12"/>
  <c r="E73" i="12"/>
  <c r="E72" i="12"/>
  <c r="E68" i="12"/>
  <c r="E67" i="12"/>
  <c r="E63" i="12"/>
  <c r="E62" i="12"/>
  <c r="E58" i="12"/>
  <c r="E57" i="12"/>
  <c r="E53" i="12"/>
  <c r="E54" i="12" s="1"/>
  <c r="E52" i="12"/>
  <c r="E48" i="12"/>
  <c r="E47" i="12"/>
  <c r="E42" i="12"/>
  <c r="E44" i="12" s="1"/>
  <c r="E43" i="12"/>
  <c r="E38" i="12"/>
  <c r="E37" i="12"/>
  <c r="E39" i="12" s="1"/>
  <c r="E30" i="12"/>
  <c r="E29" i="12"/>
  <c r="E25" i="12"/>
  <c r="E24" i="12"/>
  <c r="E94" i="12"/>
  <c r="E74" i="12"/>
  <c r="E69" i="12"/>
  <c r="E64" i="12"/>
  <c r="E59" i="12"/>
  <c r="E49" i="12"/>
  <c r="E31" i="12"/>
  <c r="E26" i="12"/>
  <c r="E89" i="12" l="1"/>
  <c r="E84" i="12"/>
  <c r="E20" i="12" l="1"/>
  <c r="E19" i="12"/>
  <c r="E13" i="10"/>
  <c r="E12" i="10"/>
  <c r="E11" i="10"/>
  <c r="E21" i="12" l="1"/>
  <c r="E6" i="12" l="1"/>
  <c r="E5" i="12"/>
  <c r="E13" i="11" l="1"/>
  <c r="E14" i="11"/>
  <c r="E15" i="11" s="1"/>
  <c r="E6" i="11" l="1"/>
  <c r="E5" i="11"/>
  <c r="E6" i="10" l="1"/>
  <c r="E5" i="10"/>
  <c r="E6" i="9" l="1"/>
  <c r="E5" i="9"/>
  <c r="E12" i="8" l="1"/>
  <c r="E11" i="8"/>
  <c r="E13" i="8" s="1"/>
  <c r="E5" i="8" l="1"/>
  <c r="E15" i="6" l="1"/>
  <c r="E14" i="6"/>
  <c r="E16" i="6" l="1"/>
  <c r="E13" i="7" l="1"/>
  <c r="E14" i="7"/>
  <c r="E15" i="7" l="1"/>
  <c r="E15" i="5" l="1"/>
  <c r="E14" i="5"/>
  <c r="E16" i="5" l="1"/>
  <c r="E12" i="4"/>
  <c r="E11" i="4"/>
  <c r="E13" i="4" l="1"/>
  <c r="E6" i="7" l="1"/>
  <c r="E5" i="7"/>
  <c r="E5" i="6" l="1"/>
  <c r="E6" i="6"/>
  <c r="E6" i="5" l="1"/>
  <c r="E5" i="5"/>
  <c r="E6" i="4" l="1"/>
  <c r="E5" i="4"/>
  <c r="E7" i="4" s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1" i="17"/>
  <c r="E12" i="17"/>
  <c r="E17" i="17"/>
  <c r="D17" i="17" s="1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9" i="7" l="1"/>
  <c r="E8" i="7"/>
  <c r="E10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<sst xmlns="http://schemas.openxmlformats.org/spreadsheetml/2006/main" count="508" uniqueCount="56">
  <si>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</si>
  <si>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</si>
  <si>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</si>
  <si>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</si>
  <si>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</si>
  <si>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</si>
  <si>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</si>
  <si>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</si>
  <si>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</si>
  <si>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</si>
  <si>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</si>
  <si>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</si>
  <si>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</si>
  <si>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</si>
  <si>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</si>
  <si>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</si>
  <si>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</si>
  <si>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</si>
  <si>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</si>
  <si>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</si>
  <si>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</si>
  <si>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</si>
  <si>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</si>
  <si>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за 2022 г.</t>
  </si>
  <si>
    <t>11.02.2022 г.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</si>
  <si>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</si>
  <si>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</si>
  <si>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14.06.2022 г.</t>
  </si>
  <si>
    <t>Ноябрь 2020</t>
  </si>
  <si>
    <t>ОАО "Кузбассэнергосбыт"</t>
  </si>
  <si>
    <t>Корректировки за октябрь 2021 г. по урегулированным разногласиям:</t>
  </si>
  <si>
    <t>Октябрь 2021</t>
  </si>
  <si>
    <t>Корректировки за 2021 г. по урегулированным разногласиям:</t>
  </si>
  <si>
    <t>Корректировки за 2020 г. по урегулированным разногласиям:</t>
  </si>
  <si>
    <t>Октябрь 2020</t>
  </si>
  <si>
    <t>Декабрь 2020</t>
  </si>
  <si>
    <t>Январь 2021</t>
  </si>
  <si>
    <t>Февраль 2021</t>
  </si>
  <si>
    <t>Март 2021</t>
  </si>
  <si>
    <t>Апрель 2021</t>
  </si>
  <si>
    <t>Май 2021</t>
  </si>
  <si>
    <t>Июнь 2021</t>
  </si>
  <si>
    <t>Июль 2021</t>
  </si>
  <si>
    <t>Август 2021</t>
  </si>
  <si>
    <t>Сентябрь 2021</t>
  </si>
  <si>
    <t>Ноябрь 2021</t>
  </si>
  <si>
    <t>Декабрь 2021</t>
  </si>
  <si>
    <t>Корректировки за 2022 г. по урегулированным разногласиям:</t>
  </si>
  <si>
    <t>Январь 2022</t>
  </si>
  <si>
    <t>Февраль 2022</t>
  </si>
  <si>
    <t>Март 2022</t>
  </si>
  <si>
    <t>Апрель 2022</t>
  </si>
  <si>
    <t>Май 2022</t>
  </si>
  <si>
    <t>Июнь 2022</t>
  </si>
  <si>
    <t>Июль 2022</t>
  </si>
  <si>
    <t>Август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</si>
</sst>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14" fontId="12" fillId="0" borderId="0" xfId="0" applyNumberFormat="1" applyFont="1" applyFill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A10" sqref="A10:E1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x14ac:dyDescent="0.25">
      <c r="A2" s="42" t="s">
        <v>23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5602352/1000</f>
        <v>5602.3519999999999</v>
      </c>
    </row>
    <row r="6" spans="1:5" s="3" customFormat="1" ht="12.75" x14ac:dyDescent="0.2">
      <c r="A6" s="1">
        <v>2</v>
      </c>
      <c r="B6" s="39"/>
      <c r="C6" s="41"/>
      <c r="D6" s="6" t="s">
        <v>16</v>
      </c>
      <c r="E6" s="7">
        <f>3.09056*1000</f>
        <v>3090.56</v>
      </c>
    </row>
    <row r="7" spans="1:5" s="3" customFormat="1" ht="25.5" x14ac:dyDescent="0.2">
      <c r="A7" s="1">
        <v>3</v>
      </c>
      <c r="B7" s="40"/>
      <c r="C7" s="41"/>
      <c r="D7" s="8" t="s">
        <v>15</v>
      </c>
      <c r="E7" s="9">
        <f t="shared" ref="E7" si="0">E5*E6</f>
        <v>17314404.99712</v>
      </c>
    </row>
    <row r="10" spans="1:5" x14ac:dyDescent="0.25">
      <c r="A10" s="10" t="s">
        <v>0</v>
      </c>
      <c r="B10" s="11" t="s">
        <v>18</v>
      </c>
      <c r="C10" s="11" t="s">
        <v>17</v>
      </c>
      <c r="D10" s="11" t="s">
        <v>1</v>
      </c>
      <c r="E10" s="12" t="s">
        <v>2</v>
      </c>
    </row>
    <row r="11" spans="1:5" ht="25.5" x14ac:dyDescent="0.25">
      <c r="A11" s="1">
        <v>1</v>
      </c>
      <c r="B11" s="43" t="s">
        <v>22</v>
      </c>
      <c r="C11" s="46" t="s">
        <v>26</v>
      </c>
      <c r="D11" s="4" t="s">
        <v>20</v>
      </c>
      <c r="E11" s="5">
        <f>11430/1000</f>
        <v>11.43</v>
      </c>
    </row>
    <row r="12" spans="1:5" x14ac:dyDescent="0.25">
      <c r="A12" s="1">
        <v>2</v>
      </c>
      <c r="B12" s="44"/>
      <c r="C12" s="46"/>
      <c r="D12" s="6" t="s">
        <v>16</v>
      </c>
      <c r="E12" s="7">
        <f>4.3800901*1000</f>
        <v>4380.0901000000003</v>
      </c>
    </row>
    <row r="13" spans="1:5" ht="25.5" x14ac:dyDescent="0.25">
      <c r="A13" s="1">
        <v>3</v>
      </c>
      <c r="B13" s="45"/>
      <c r="C13" s="46"/>
      <c r="D13" s="8" t="s">
        <v>15</v>
      </c>
      <c r="E13" s="9">
        <f t="shared" ref="E13" si="1">E11*E12</f>
        <v>50064.429843000005</v>
      </c>
    </row>
    <row r="16" spans="1:5" x14ac:dyDescent="0.25">
      <c r="D16" s="14" t="s">
        <v>21</v>
      </c>
      <c r="E16" s="30" t="s">
        <v>24</v>
      </c>
    </row>
  </sheetData>
  <mergeCells count="6">
    <mergeCell ref="B5:B7"/>
    <mergeCell ref="C5:C7"/>
    <mergeCell ref="A1:E1"/>
    <mergeCell ref="A2:E2"/>
    <mergeCell ref="B11:B13"/>
    <mergeCell ref="C11:C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E12"/>
    </sheetView>
  </sheetViews>
  <sheetFormatPr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2" t="s">
        <v>14</v>
      </c>
      <c r="B1" s="42"/>
      <c r="C1" s="42"/>
      <c r="D1" s="42"/>
      <c r="E1" s="42"/>
    </row>
    <row r="2" spans="1:5" ht="15" customHeight="1" x14ac:dyDescent="0.2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12294256/1000</f>
        <v>12294.255999999999</v>
      </c>
    </row>
    <row r="6" spans="1:5" s="2" customFormat="1" ht="12.75" customHeight="1" x14ac:dyDescent="0.2">
      <c r="A6" s="1">
        <v>2</v>
      </c>
      <c r="B6" s="39"/>
      <c r="C6" s="41"/>
      <c r="D6" s="6" t="s">
        <v>16</v>
      </c>
      <c r="E6" s="7">
        <f>3.51572*1000</f>
        <v>3515.72</v>
      </c>
    </row>
    <row r="7" spans="1:5" s="2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43223161.704319999</v>
      </c>
    </row>
    <row r="9" spans="1:5" x14ac:dyDescent="0.2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ht="25.5" x14ac:dyDescent="0.2">
      <c r="A10" s="1">
        <v>1</v>
      </c>
      <c r="B10" s="43" t="s">
        <v>22</v>
      </c>
      <c r="C10" s="46" t="s">
        <v>26</v>
      </c>
      <c r="D10" s="4" t="s">
        <v>20</v>
      </c>
      <c r="E10" s="5">
        <f>1610/1000</f>
        <v>1.61</v>
      </c>
    </row>
    <row r="11" spans="1:5" x14ac:dyDescent="0.2">
      <c r="A11" s="1">
        <v>2</v>
      </c>
      <c r="B11" s="44"/>
      <c r="C11" s="46"/>
      <c r="D11" s="6" t="s">
        <v>16</v>
      </c>
      <c r="E11" s="7">
        <f>6.08459*1000</f>
        <v>6084.59</v>
      </c>
    </row>
    <row r="12" spans="1:5" ht="25.5" x14ac:dyDescent="0.2">
      <c r="A12" s="1">
        <v>3</v>
      </c>
      <c r="B12" s="45"/>
      <c r="C12" s="46"/>
      <c r="D12" s="8" t="s">
        <v>15</v>
      </c>
      <c r="E12" s="9">
        <f>E10*E11</f>
        <v>9796.1899000000012</v>
      </c>
    </row>
    <row r="15" spans="1:5" customFormat="1" ht="15" x14ac:dyDescent="0.25">
      <c r="D15" s="14" t="s">
        <v>21</v>
      </c>
      <c r="E15" s="27">
        <v>44876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12307525/1000</f>
        <v>12307.525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3.55364756961696*1000</f>
        <v>3553.64756961696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43736606.304249972</v>
      </c>
    </row>
    <row r="11" spans="1:5" x14ac:dyDescent="0.25">
      <c r="D11" s="14" t="s">
        <v>21</v>
      </c>
      <c r="E11" s="27">
        <v>44907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workbookViewId="0">
      <selection activeCell="A9" sqref="A9: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16948018/1000</f>
        <v>16948.018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2.8605*1000</f>
        <v>2860.5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48479805.489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13</v>
      </c>
    </row>
    <row r="10" spans="1:5" ht="25.5" x14ac:dyDescent="0.25">
      <c r="A10" s="1">
        <v>1</v>
      </c>
      <c r="B10" s="43" t="s">
        <v>22</v>
      </c>
      <c r="C10" s="46" t="s">
        <v>26</v>
      </c>
      <c r="D10" s="4" t="s">
        <v>20</v>
      </c>
      <c r="E10" s="5">
        <f>866/1000</f>
        <v>0.86599999999999999</v>
      </c>
    </row>
    <row r="11" spans="1:5" x14ac:dyDescent="0.25">
      <c r="A11" s="1">
        <v>2</v>
      </c>
      <c r="B11" s="44"/>
      <c r="C11" s="46"/>
      <c r="D11" s="6" t="s">
        <v>16</v>
      </c>
      <c r="E11" s="7">
        <f>3.73803*1000</f>
        <v>3738.03</v>
      </c>
    </row>
    <row r="12" spans="1:5" ht="25.5" x14ac:dyDescent="0.25">
      <c r="A12" s="1">
        <v>3</v>
      </c>
      <c r="B12" s="45"/>
      <c r="C12" s="46"/>
      <c r="D12" s="8" t="s">
        <v>15</v>
      </c>
      <c r="E12" s="9">
        <f>E10*E11</f>
        <v>3237.1339800000001</v>
      </c>
    </row>
    <row r="16" spans="1:5" x14ac:dyDescent="0.25">
      <c r="D16" s="14" t="s">
        <v>21</v>
      </c>
      <c r="E16" s="27">
        <v>44937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3090.56</v>
      </c>
      <c r="D5" s="26" t="e">
        <f>B5*C5/1000</f>
        <v>#REF!</v>
      </c>
    </row>
    <row r="6" spans="1:4" x14ac:dyDescent="0.25">
      <c r="A6">
        <v>2</v>
      </c>
      <c r="B6" s="25">
        <f>Февраль!E5</f>
        <v>5139.0280000000002</v>
      </c>
      <c r="C6" s="25">
        <f>Февраль!E6</f>
        <v>3428.46</v>
      </c>
      <c r="D6" s="26">
        <f t="shared" ref="D6:D13" si="0">B6*C6/1000</f>
        <v>17618.951936879999</v>
      </c>
    </row>
    <row r="7" spans="1:4" x14ac:dyDescent="0.25">
      <c r="A7">
        <v>3</v>
      </c>
      <c r="B7" s="25">
        <f>Март!E5</f>
        <v>17642.048999999999</v>
      </c>
      <c r="C7" s="25">
        <f>Март!E6</f>
        <v>3123.6844967633897</v>
      </c>
      <c r="D7" s="26">
        <f t="shared" si="0"/>
        <v>55108.194952440062</v>
      </c>
    </row>
    <row r="8" spans="1:4" x14ac:dyDescent="0.25">
      <c r="A8">
        <v>4</v>
      </c>
      <c r="B8" s="25">
        <f>Апрель!E5</f>
        <v>8924.7510000000002</v>
      </c>
      <c r="C8" s="25">
        <f>Апрель!E6</f>
        <v>2951.52763412895</v>
      </c>
      <c r="D8" s="26">
        <f t="shared" si="0"/>
        <v>26341.649204219982</v>
      </c>
    </row>
    <row r="9" spans="1:4" x14ac:dyDescent="0.25">
      <c r="A9">
        <v>5</v>
      </c>
      <c r="B9" s="25">
        <f>Май!E5</f>
        <v>9750.7880000000005</v>
      </c>
      <c r="C9" s="25">
        <f>Май!E6</f>
        <v>2690.0523092984895</v>
      </c>
      <c r="D9" s="26">
        <f t="shared" si="0"/>
        <v>26230.12977688</v>
      </c>
    </row>
    <row r="10" spans="1:4" x14ac:dyDescent="0.25">
      <c r="A10">
        <v>6</v>
      </c>
      <c r="B10" s="25">
        <f>Июнь!E5</f>
        <v>5613.2150000000001</v>
      </c>
      <c r="C10" s="25">
        <f>Июнь!E6</f>
        <v>2882.0800000000004</v>
      </c>
      <c r="D10" s="26">
        <f t="shared" si="0"/>
        <v>16177.734687200002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3305.3599999999997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3370.4900000000002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7794.6809999999996</v>
      </c>
      <c r="C13" s="25">
        <f>Сентябрь!E6</f>
        <v>3679.49</v>
      </c>
      <c r="D13" s="26">
        <f t="shared" si="0"/>
        <v>28680.450792689997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3090.56</v>
      </c>
      <c r="E5" s="26" t="e">
        <f>SUM(F5:H5)</f>
        <v>#REF!</v>
      </c>
      <c r="F5" s="26">
        <f>Январь!E5</f>
        <v>5602.3519999999999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3428.46</v>
      </c>
      <c r="E6" s="26">
        <f t="shared" ref="E6:E16" si="0">SUM(F6:H6)</f>
        <v>5139.0280000000002</v>
      </c>
      <c r="F6" s="26">
        <f>Февраль!E5</f>
        <v>5139.0280000000002</v>
      </c>
    </row>
    <row r="7" spans="3:8" x14ac:dyDescent="0.25">
      <c r="C7" t="s">
        <v>4</v>
      </c>
      <c r="D7" s="25">
        <f>Март!E6</f>
        <v>3123.6844967633897</v>
      </c>
      <c r="E7" s="26">
        <f t="shared" si="0"/>
        <v>17642.048999999999</v>
      </c>
      <c r="F7" s="26">
        <f>Март!E5</f>
        <v>17642.048999999999</v>
      </c>
    </row>
    <row r="8" spans="3:8" x14ac:dyDescent="0.25">
      <c r="C8" t="s">
        <v>5</v>
      </c>
      <c r="D8" s="25">
        <f>Апрель!E6</f>
        <v>2951.52763412895</v>
      </c>
      <c r="E8" s="26">
        <f t="shared" si="0"/>
        <v>8924.7510000000002</v>
      </c>
      <c r="F8" s="26">
        <f>Апрель!E5</f>
        <v>8924.7510000000002</v>
      </c>
    </row>
    <row r="9" spans="3:8" x14ac:dyDescent="0.25">
      <c r="C9" t="s">
        <v>6</v>
      </c>
      <c r="D9" s="25">
        <f>Май!E6</f>
        <v>2690.0523092984895</v>
      </c>
      <c r="E9" s="26">
        <f t="shared" si="0"/>
        <v>9750.7880000000005</v>
      </c>
      <c r="F9" s="26">
        <f>Май!E5</f>
        <v>9750.7880000000005</v>
      </c>
    </row>
    <row r="10" spans="3:8" x14ac:dyDescent="0.25">
      <c r="C10" t="s">
        <v>7</v>
      </c>
      <c r="D10" s="25">
        <f>Июнь!E6</f>
        <v>2882.0800000000004</v>
      </c>
      <c r="E10" s="26">
        <f t="shared" si="0"/>
        <v>5613.2150000000001</v>
      </c>
      <c r="F10" s="26">
        <f>Июнь!E5</f>
        <v>5613.2150000000001</v>
      </c>
    </row>
    <row r="11" spans="3:8" x14ac:dyDescent="0.25">
      <c r="C11" t="s">
        <v>8</v>
      </c>
      <c r="D11" s="25">
        <f>Июль!E6</f>
        <v>3305.3599999999997</v>
      </c>
      <c r="E11" s="26" t="e">
        <f t="shared" si="0"/>
        <v>#REF!</v>
      </c>
      <c r="F11" s="26">
        <f>Июль!E5</f>
        <v>7727.6840000000002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3370.4900000000002</v>
      </c>
      <c r="E12" s="26" t="e">
        <f t="shared" si="0"/>
        <v>#REF!</v>
      </c>
      <c r="F12" s="26">
        <f>Август!E5</f>
        <v>6661.2929999999997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3679.49</v>
      </c>
      <c r="E13" s="26">
        <f t="shared" si="0"/>
        <v>7794.6809999999996</v>
      </c>
      <c r="F13" s="26">
        <f>Сентябрь!E5</f>
        <v>7794.6809999999996</v>
      </c>
    </row>
    <row r="14" spans="3:8" x14ac:dyDescent="0.25">
      <c r="C14" t="s">
        <v>11</v>
      </c>
      <c r="D14" s="25">
        <f>Октябрь!E6</f>
        <v>3515.72</v>
      </c>
      <c r="E14" s="26">
        <f t="shared" si="0"/>
        <v>12294.255999999999</v>
      </c>
      <c r="F14" s="26">
        <f>Октябрь!E5</f>
        <v>12294.255999999999</v>
      </c>
    </row>
    <row r="15" spans="3:8" x14ac:dyDescent="0.25">
      <c r="C15" t="s">
        <v>12</v>
      </c>
      <c r="D15" s="25">
        <f>Ноябрь!E6</f>
        <v>3553.64756961696</v>
      </c>
      <c r="E15" s="26">
        <f t="shared" si="0"/>
        <v>12307.525</v>
      </c>
      <c r="F15" s="26">
        <f>Ноябрь!E5</f>
        <v>12307.525</v>
      </c>
    </row>
    <row r="16" spans="3:8" x14ac:dyDescent="0.25">
      <c r="C16" t="s">
        <v>13</v>
      </c>
      <c r="D16" s="25">
        <f>Декабрь!E6</f>
        <v>2860.5</v>
      </c>
      <c r="E16" s="26">
        <f t="shared" si="0"/>
        <v>16948.018</v>
      </c>
      <c r="F16" s="26">
        <f>Декабрь!E5</f>
        <v>16948.018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A13" sqref="A13: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4">
        <v>1</v>
      </c>
      <c r="B5" s="38" t="s">
        <v>25</v>
      </c>
      <c r="C5" s="41" t="s">
        <v>19</v>
      </c>
      <c r="D5" s="4" t="s">
        <v>20</v>
      </c>
      <c r="E5" s="5">
        <f>5139028/1000</f>
        <v>5139.0280000000002</v>
      </c>
    </row>
    <row r="6" spans="1:5" s="3" customFormat="1" ht="12.75" x14ac:dyDescent="0.2">
      <c r="A6" s="55"/>
      <c r="B6" s="39"/>
      <c r="C6" s="41"/>
      <c r="D6" s="6" t="s">
        <v>16</v>
      </c>
      <c r="E6" s="7">
        <f>3.42846*1000</f>
        <v>3428.46</v>
      </c>
    </row>
    <row r="7" spans="1:5" s="3" customFormat="1" ht="25.5" x14ac:dyDescent="0.2">
      <c r="A7" s="56"/>
      <c r="B7" s="40"/>
      <c r="C7" s="41"/>
      <c r="D7" s="8" t="s">
        <v>15</v>
      </c>
      <c r="E7" s="9">
        <f t="shared" ref="E7" si="0">E5*E6</f>
        <v>17618951.93688</v>
      </c>
    </row>
    <row r="8" spans="1:5" s="17" customFormat="1" ht="25.5" hidden="1" customHeight="1" x14ac:dyDescent="0.2">
      <c r="A8" s="47">
        <v>2</v>
      </c>
      <c r="B8" s="50" t="s">
        <v>22</v>
      </c>
      <c r="C8" s="53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48"/>
      <c r="B9" s="51"/>
      <c r="C9" s="53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49"/>
      <c r="B10" s="52"/>
      <c r="C10" s="53"/>
      <c r="D10" s="21" t="s">
        <v>15</v>
      </c>
      <c r="E10" s="22">
        <f t="shared" ref="E10" si="1">E8*E9</f>
        <v>2050.6034</v>
      </c>
    </row>
    <row r="13" spans="1:5" x14ac:dyDescent="0.25">
      <c r="A13" s="10" t="s">
        <v>0</v>
      </c>
      <c r="B13" s="11" t="s">
        <v>18</v>
      </c>
      <c r="C13" s="11" t="s">
        <v>17</v>
      </c>
      <c r="D13" s="11" t="s">
        <v>1</v>
      </c>
      <c r="E13" s="12" t="s">
        <v>3</v>
      </c>
    </row>
    <row r="14" spans="1:5" ht="25.5" x14ac:dyDescent="0.25">
      <c r="A14" s="1">
        <v>1</v>
      </c>
      <c r="B14" s="43" t="s">
        <v>22</v>
      </c>
      <c r="C14" s="46" t="s">
        <v>26</v>
      </c>
      <c r="D14" s="4" t="s">
        <v>20</v>
      </c>
      <c r="E14" s="5">
        <f>7465/1000</f>
        <v>7.4649999999999999</v>
      </c>
    </row>
    <row r="15" spans="1:5" x14ac:dyDescent="0.25">
      <c r="A15" s="1">
        <v>2</v>
      </c>
      <c r="B15" s="44"/>
      <c r="C15" s="46"/>
      <c r="D15" s="6" t="s">
        <v>16</v>
      </c>
      <c r="E15" s="7">
        <f>4.11384*1000</f>
        <v>4113.84</v>
      </c>
    </row>
    <row r="16" spans="1:5" ht="25.5" x14ac:dyDescent="0.25">
      <c r="A16" s="1">
        <v>3</v>
      </c>
      <c r="B16" s="45"/>
      <c r="C16" s="46"/>
      <c r="D16" s="8" t="s">
        <v>15</v>
      </c>
      <c r="E16" s="9">
        <f t="shared" ref="E16" si="2">E14*E15</f>
        <v>30709.815600000002</v>
      </c>
    </row>
    <row r="18" spans="4:5" x14ac:dyDescent="0.25">
      <c r="D18" s="14" t="s">
        <v>21</v>
      </c>
      <c r="E18" s="27">
        <v>44631</v>
      </c>
    </row>
  </sheetData>
  <mergeCells count="10">
    <mergeCell ref="B14:B16"/>
    <mergeCell ref="C14:C16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C23" sqref="C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4">
        <v>1</v>
      </c>
      <c r="B5" s="38" t="s">
        <v>25</v>
      </c>
      <c r="C5" s="41" t="s">
        <v>19</v>
      </c>
      <c r="D5" s="4" t="s">
        <v>20</v>
      </c>
      <c r="E5" s="5">
        <f>17642049/1000</f>
        <v>17642.048999999999</v>
      </c>
    </row>
    <row r="6" spans="1:5" s="3" customFormat="1" ht="12.75" customHeight="1" x14ac:dyDescent="0.2">
      <c r="A6" s="55"/>
      <c r="B6" s="39"/>
      <c r="C6" s="41"/>
      <c r="D6" s="6" t="s">
        <v>16</v>
      </c>
      <c r="E6" s="7">
        <f>3.12368449676339*1000</f>
        <v>3123.6844967633897</v>
      </c>
    </row>
    <row r="7" spans="1:5" s="3" customFormat="1" ht="25.5" customHeight="1" x14ac:dyDescent="0.2">
      <c r="A7" s="56"/>
      <c r="B7" s="40"/>
      <c r="C7" s="41"/>
      <c r="D7" s="8" t="s">
        <v>15</v>
      </c>
      <c r="E7" s="9">
        <f t="shared" ref="E7" si="0">E5*E6</f>
        <v>55108194.952440061</v>
      </c>
    </row>
    <row r="8" spans="1:5" s="17" customFormat="1" ht="25.5" hidden="1" customHeight="1" x14ac:dyDescent="0.2">
      <c r="A8" s="47">
        <v>2</v>
      </c>
      <c r="B8" s="50" t="s">
        <v>22</v>
      </c>
      <c r="C8" s="53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48"/>
      <c r="B9" s="51"/>
      <c r="C9" s="53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49"/>
      <c r="B10" s="52"/>
      <c r="C10" s="53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2"/>
      <c r="B11" s="33"/>
      <c r="C11" s="34"/>
      <c r="D11" s="35"/>
      <c r="E11" s="36"/>
    </row>
    <row r="12" spans="1:5" s="20" customFormat="1" ht="18" customHeight="1" x14ac:dyDescent="0.2">
      <c r="A12" s="32"/>
      <c r="B12" s="33"/>
      <c r="C12" s="34"/>
      <c r="D12" s="35"/>
      <c r="E12" s="36"/>
    </row>
    <row r="13" spans="1:5" s="20" customFormat="1" ht="18" customHeight="1" x14ac:dyDescent="0.2">
      <c r="A13" s="10" t="s">
        <v>0</v>
      </c>
      <c r="B13" s="11" t="s">
        <v>18</v>
      </c>
      <c r="C13" s="11" t="s">
        <v>17</v>
      </c>
      <c r="D13" s="11" t="s">
        <v>1</v>
      </c>
      <c r="E13" s="12" t="s">
        <v>4</v>
      </c>
    </row>
    <row r="14" spans="1:5" s="20" customFormat="1" ht="26.25" customHeight="1" x14ac:dyDescent="0.2">
      <c r="A14" s="1">
        <v>1</v>
      </c>
      <c r="B14" s="43" t="s">
        <v>22</v>
      </c>
      <c r="C14" s="46" t="s">
        <v>26</v>
      </c>
      <c r="D14" s="4" t="s">
        <v>20</v>
      </c>
      <c r="E14" s="5">
        <f>6163/1000</f>
        <v>6.1630000000000003</v>
      </c>
    </row>
    <row r="15" spans="1:5" s="20" customFormat="1" ht="18" customHeight="1" x14ac:dyDescent="0.2">
      <c r="A15" s="1">
        <v>2</v>
      </c>
      <c r="B15" s="44"/>
      <c r="C15" s="46"/>
      <c r="D15" s="6" t="s">
        <v>16</v>
      </c>
      <c r="E15" s="7">
        <f>4.18917*1000</f>
        <v>4189.17</v>
      </c>
    </row>
    <row r="16" spans="1:5" ht="25.5" x14ac:dyDescent="0.25">
      <c r="A16" s="1">
        <v>3</v>
      </c>
      <c r="B16" s="45"/>
      <c r="C16" s="46"/>
      <c r="D16" s="8" t="s">
        <v>15</v>
      </c>
      <c r="E16" s="9">
        <f t="shared" ref="E16" si="2">E14*E15</f>
        <v>25817.854710000003</v>
      </c>
    </row>
    <row r="18" spans="4:5" x14ac:dyDescent="0.25">
      <c r="D18" s="14" t="s">
        <v>21</v>
      </c>
      <c r="E18" s="27">
        <v>44662</v>
      </c>
    </row>
  </sheetData>
  <mergeCells count="10">
    <mergeCell ref="B14:B16"/>
    <mergeCell ref="C14:C16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A12" sqref="A12: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4">
        <v>1</v>
      </c>
      <c r="B5" s="38" t="s">
        <v>25</v>
      </c>
      <c r="C5" s="41" t="s">
        <v>19</v>
      </c>
      <c r="D5" s="4" t="s">
        <v>20</v>
      </c>
      <c r="E5" s="5">
        <f>8924751/1000</f>
        <v>8924.7510000000002</v>
      </c>
    </row>
    <row r="6" spans="1:5" s="3" customFormat="1" ht="12.75" customHeight="1" x14ac:dyDescent="0.2">
      <c r="A6" s="55"/>
      <c r="B6" s="39"/>
      <c r="C6" s="41"/>
      <c r="D6" s="6" t="s">
        <v>16</v>
      </c>
      <c r="E6" s="7">
        <f>2.95152763412895*1000</f>
        <v>2951.52763412895</v>
      </c>
    </row>
    <row r="7" spans="1:5" s="3" customFormat="1" ht="25.5" customHeight="1" x14ac:dyDescent="0.2">
      <c r="A7" s="56"/>
      <c r="B7" s="40"/>
      <c r="C7" s="41"/>
      <c r="D7" s="8" t="s">
        <v>15</v>
      </c>
      <c r="E7" s="9">
        <f t="shared" ref="E7" si="0">E5*E6</f>
        <v>26341649.204219982</v>
      </c>
    </row>
    <row r="8" spans="1:5" s="17" customFormat="1" ht="25.5" hidden="1" customHeight="1" x14ac:dyDescent="0.2">
      <c r="A8" s="47">
        <v>2</v>
      </c>
      <c r="B8" s="50" t="s">
        <v>22</v>
      </c>
      <c r="C8" s="53" t="s">
        <v>19</v>
      </c>
      <c r="D8" s="15" t="s">
        <v>20</v>
      </c>
      <c r="E8" s="16">
        <f>78/1000</f>
        <v>7.8E-2</v>
      </c>
    </row>
    <row r="9" spans="1:5" s="20" customFormat="1" ht="12.75" hidden="1" customHeight="1" x14ac:dyDescent="0.2">
      <c r="A9" s="48"/>
      <c r="B9" s="51"/>
      <c r="C9" s="53"/>
      <c r="D9" s="18" t="s">
        <v>16</v>
      </c>
      <c r="E9" s="19">
        <f>2.26715*1000</f>
        <v>2267.15</v>
      </c>
    </row>
    <row r="10" spans="1:5" s="20" customFormat="1" ht="25.5" hidden="1" customHeight="1" x14ac:dyDescent="0.2">
      <c r="A10" s="49"/>
      <c r="B10" s="52"/>
      <c r="C10" s="53"/>
      <c r="D10" s="21" t="s">
        <v>15</v>
      </c>
      <c r="E10" s="22">
        <f t="shared" ref="E10" si="1">E8*E9</f>
        <v>176.83770000000001</v>
      </c>
    </row>
    <row r="12" spans="1:5" x14ac:dyDescent="0.25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5</v>
      </c>
    </row>
    <row r="13" spans="1:5" ht="25.5" x14ac:dyDescent="0.25">
      <c r="A13" s="1">
        <v>1</v>
      </c>
      <c r="B13" s="43" t="s">
        <v>22</v>
      </c>
      <c r="C13" s="46" t="s">
        <v>26</v>
      </c>
      <c r="D13" s="4" t="s">
        <v>20</v>
      </c>
      <c r="E13" s="5">
        <f>5068/1000</f>
        <v>5.0679999999999996</v>
      </c>
    </row>
    <row r="14" spans="1:5" x14ac:dyDescent="0.25">
      <c r="A14" s="1">
        <v>2</v>
      </c>
      <c r="B14" s="44"/>
      <c r="C14" s="46"/>
      <c r="D14" s="6" t="s">
        <v>16</v>
      </c>
      <c r="E14" s="7">
        <f>3.86432*1000</f>
        <v>3864.32</v>
      </c>
    </row>
    <row r="15" spans="1:5" ht="25.5" x14ac:dyDescent="0.25">
      <c r="A15" s="1">
        <v>3</v>
      </c>
      <c r="B15" s="45"/>
      <c r="C15" s="46"/>
      <c r="D15" s="8" t="s">
        <v>15</v>
      </c>
      <c r="E15" s="9">
        <f t="shared" ref="E15" si="2">E13*E14</f>
        <v>19584.373759999999</v>
      </c>
    </row>
    <row r="18" spans="4:5" x14ac:dyDescent="0.25">
      <c r="D18" s="14" t="s">
        <v>21</v>
      </c>
      <c r="E18" s="27">
        <v>44692</v>
      </c>
    </row>
  </sheetData>
  <mergeCells count="10">
    <mergeCell ref="B13:B15"/>
    <mergeCell ref="C13:C15"/>
    <mergeCell ref="A1:E1"/>
    <mergeCell ref="A2:E2"/>
    <mergeCell ref="B5:B7"/>
    <mergeCell ref="C5:C7"/>
    <mergeCell ref="B8:B10"/>
    <mergeCell ref="C8:C10"/>
    <mergeCell ref="A5:A7"/>
    <mergeCell ref="A8: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B11" sqref="B11:C1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9750788/1000</f>
        <v>9750.7880000000005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v>2690.0523092984895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26230129.77688</v>
      </c>
    </row>
    <row r="10" spans="1:5" x14ac:dyDescent="0.25">
      <c r="A10" s="10" t="s">
        <v>0</v>
      </c>
      <c r="B10" s="11" t="s">
        <v>18</v>
      </c>
      <c r="C10" s="11" t="s">
        <v>17</v>
      </c>
      <c r="D10" s="11" t="s">
        <v>1</v>
      </c>
      <c r="E10" s="12" t="s">
        <v>6</v>
      </c>
    </row>
    <row r="11" spans="1:5" ht="25.5" x14ac:dyDescent="0.25">
      <c r="A11" s="1">
        <v>1</v>
      </c>
      <c r="B11" s="43" t="s">
        <v>22</v>
      </c>
      <c r="C11" s="46" t="s">
        <v>26</v>
      </c>
      <c r="D11" s="4" t="s">
        <v>20</v>
      </c>
      <c r="E11" s="5">
        <f>3432/1000</f>
        <v>3.4319999999999999</v>
      </c>
    </row>
    <row r="12" spans="1:5" x14ac:dyDescent="0.25">
      <c r="A12" s="1">
        <v>2</v>
      </c>
      <c r="B12" s="44"/>
      <c r="C12" s="46"/>
      <c r="D12" s="6" t="s">
        <v>16</v>
      </c>
      <c r="E12" s="7">
        <f>3.78887*1000</f>
        <v>3788.8700000000003</v>
      </c>
    </row>
    <row r="13" spans="1:5" ht="25.5" x14ac:dyDescent="0.25">
      <c r="A13" s="1">
        <v>3</v>
      </c>
      <c r="B13" s="45"/>
      <c r="C13" s="46"/>
      <c r="D13" s="8" t="s">
        <v>15</v>
      </c>
      <c r="E13" s="9">
        <f t="shared" ref="E13" si="1">E11*E12</f>
        <v>13003.40184</v>
      </c>
    </row>
    <row r="16" spans="1:5" x14ac:dyDescent="0.25">
      <c r="D16" s="14" t="s">
        <v>21</v>
      </c>
      <c r="E16" s="27" t="s">
        <v>27</v>
      </c>
    </row>
  </sheetData>
  <mergeCells count="6">
    <mergeCell ref="A1:E1"/>
    <mergeCell ref="A2:E2"/>
    <mergeCell ref="B5:B7"/>
    <mergeCell ref="C5:C7"/>
    <mergeCell ref="B11:B13"/>
    <mergeCell ref="C11:C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C29" sqref="C29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5613215/1000</f>
        <v>5613.2150000000001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2.88208*1000</f>
        <v>2882.0800000000004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16177734.687200002</v>
      </c>
    </row>
    <row r="11" spans="1:5" x14ac:dyDescent="0.25">
      <c r="D11" s="14" t="s">
        <v>21</v>
      </c>
      <c r="E11" s="27">
        <v>44753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A10" sqref="A10:E1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7727684/1000</f>
        <v>7727.6840000000002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3.30536*1000</f>
        <v>3305.3599999999997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25542777.586239997</v>
      </c>
    </row>
    <row r="10" spans="1:5" x14ac:dyDescent="0.25">
      <c r="A10" s="10" t="s">
        <v>0</v>
      </c>
      <c r="B10" s="11" t="s">
        <v>18</v>
      </c>
      <c r="C10" s="11" t="s">
        <v>17</v>
      </c>
      <c r="D10" s="11" t="s">
        <v>1</v>
      </c>
      <c r="E10" s="24" t="s">
        <v>8</v>
      </c>
    </row>
    <row r="11" spans="1:5" ht="25.5" x14ac:dyDescent="0.25">
      <c r="A11" s="1">
        <v>1</v>
      </c>
      <c r="B11" s="43" t="s">
        <v>22</v>
      </c>
      <c r="C11" s="46" t="s">
        <v>26</v>
      </c>
      <c r="D11" s="4" t="s">
        <v>20</v>
      </c>
      <c r="E11" s="5">
        <f>3235/1000</f>
        <v>3.2349999999999999</v>
      </c>
    </row>
    <row r="12" spans="1:5" x14ac:dyDescent="0.25">
      <c r="A12" s="1">
        <v>2</v>
      </c>
      <c r="B12" s="44"/>
      <c r="C12" s="46"/>
      <c r="D12" s="6" t="s">
        <v>16</v>
      </c>
      <c r="E12" s="7">
        <f>6.06649*1000</f>
        <v>6066.49</v>
      </c>
    </row>
    <row r="13" spans="1:5" ht="25.5" x14ac:dyDescent="0.25">
      <c r="A13" s="1">
        <v>3</v>
      </c>
      <c r="B13" s="45"/>
      <c r="C13" s="46"/>
      <c r="D13" s="8" t="s">
        <v>15</v>
      </c>
      <c r="E13" s="9">
        <f>E11*E12</f>
        <v>19625.095149999997</v>
      </c>
    </row>
    <row r="17" spans="4:5" x14ac:dyDescent="0.25">
      <c r="D17" s="14" t="s">
        <v>21</v>
      </c>
      <c r="E17" s="27">
        <v>44784</v>
      </c>
    </row>
  </sheetData>
  <mergeCells count="6">
    <mergeCell ref="A1:E1"/>
    <mergeCell ref="A2:E2"/>
    <mergeCell ref="B5:B7"/>
    <mergeCell ref="C5:C7"/>
    <mergeCell ref="B11:B13"/>
    <mergeCell ref="C11:C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A10" sqref="A10: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6661293/1000</f>
        <v>6661.2929999999997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3.37049*1000</f>
        <v>3370.4900000000002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22451821.443569999</v>
      </c>
    </row>
    <row r="10" spans="1:5" x14ac:dyDescent="0.25">
      <c r="A10" s="42" t="s">
        <v>30</v>
      </c>
      <c r="B10" s="42"/>
      <c r="C10" s="42"/>
      <c r="D10" s="42"/>
      <c r="E10" s="42"/>
    </row>
    <row r="11" spans="1:5" x14ac:dyDescent="0.25">
      <c r="A11" s="29"/>
      <c r="B11" s="29"/>
      <c r="C11" s="29"/>
      <c r="D11" s="29"/>
      <c r="E11" s="29"/>
    </row>
    <row r="12" spans="1:5" x14ac:dyDescent="0.25">
      <c r="A12" s="10" t="s">
        <v>0</v>
      </c>
      <c r="B12" s="11" t="s">
        <v>18</v>
      </c>
      <c r="C12" s="11" t="s">
        <v>17</v>
      </c>
      <c r="D12" s="11" t="s">
        <v>1</v>
      </c>
      <c r="E12" s="24" t="s">
        <v>31</v>
      </c>
    </row>
    <row r="13" spans="1:5" ht="25.5" x14ac:dyDescent="0.25">
      <c r="A13" s="1">
        <v>1</v>
      </c>
      <c r="B13" s="38" t="s">
        <v>29</v>
      </c>
      <c r="C13" s="41" t="s">
        <v>19</v>
      </c>
      <c r="D13" s="4" t="s">
        <v>20</v>
      </c>
      <c r="E13" s="5">
        <f>-1950/1000</f>
        <v>-1.95</v>
      </c>
    </row>
    <row r="14" spans="1:5" x14ac:dyDescent="0.25">
      <c r="A14" s="1">
        <v>2</v>
      </c>
      <c r="B14" s="39"/>
      <c r="C14" s="41"/>
      <c r="D14" s="6" t="s">
        <v>16</v>
      </c>
      <c r="E14" s="7">
        <f>2.66155*1000</f>
        <v>2661.55</v>
      </c>
    </row>
    <row r="15" spans="1:5" ht="25.5" x14ac:dyDescent="0.25">
      <c r="A15" s="1">
        <v>3</v>
      </c>
      <c r="B15" s="40"/>
      <c r="C15" s="41"/>
      <c r="D15" s="8" t="s">
        <v>15</v>
      </c>
      <c r="E15" s="9">
        <f t="shared" ref="E15" si="1">E13*E14</f>
        <v>-5190.0225</v>
      </c>
    </row>
    <row r="18" spans="4:5" x14ac:dyDescent="0.25">
      <c r="D18" s="14" t="s">
        <v>21</v>
      </c>
      <c r="E18" s="37">
        <v>44816</v>
      </c>
    </row>
  </sheetData>
  <mergeCells count="7">
    <mergeCell ref="B13:B15"/>
    <mergeCell ref="C13:C15"/>
    <mergeCell ref="A1:E1"/>
    <mergeCell ref="A2:E2"/>
    <mergeCell ref="B5:B7"/>
    <mergeCell ref="C5:C7"/>
    <mergeCell ref="A10:E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showGridLines="0" workbookViewId="0">
      <selection activeCell="A9" sqref="A9:E12"/>
    </sheetView>
  </sheetViews>
  <sheetFormatPr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2" t="s">
        <v>14</v>
      </c>
      <c r="B1" s="42"/>
      <c r="C1" s="42"/>
      <c r="D1" s="42"/>
      <c r="E1" s="42"/>
    </row>
    <row r="2" spans="1:5" ht="15" customHeight="1" x14ac:dyDescent="0.2">
      <c r="A2" s="42" t="str">
        <f>Январь!$A$2</f>
        <v>за 2022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38" t="s">
        <v>25</v>
      </c>
      <c r="C5" s="41" t="s">
        <v>19</v>
      </c>
      <c r="D5" s="4" t="s">
        <v>20</v>
      </c>
      <c r="E5" s="5">
        <f>7794681/1000</f>
        <v>7794.6809999999996</v>
      </c>
    </row>
    <row r="6" spans="1:5" s="2" customFormat="1" ht="12.75" customHeight="1" x14ac:dyDescent="0.2">
      <c r="A6" s="1">
        <v>2</v>
      </c>
      <c r="B6" s="39"/>
      <c r="C6" s="41"/>
      <c r="D6" s="6" t="s">
        <v>16</v>
      </c>
      <c r="E6" s="7">
        <f>3.67949*1000</f>
        <v>3679.49</v>
      </c>
    </row>
    <row r="7" spans="1:5" s="2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28680450.792689998</v>
      </c>
    </row>
    <row r="9" spans="1:5" x14ac:dyDescent="0.2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ht="25.5" x14ac:dyDescent="0.2">
      <c r="A10" s="1">
        <v>1</v>
      </c>
      <c r="B10" s="43" t="s">
        <v>22</v>
      </c>
      <c r="C10" s="46" t="s">
        <v>26</v>
      </c>
      <c r="D10" s="4" t="s">
        <v>20</v>
      </c>
      <c r="E10" s="5">
        <f>1662/1000</f>
        <v>1.6619999999999999</v>
      </c>
    </row>
    <row r="11" spans="1:5" x14ac:dyDescent="0.2">
      <c r="A11" s="1">
        <v>2</v>
      </c>
      <c r="B11" s="44"/>
      <c r="C11" s="46"/>
      <c r="D11" s="6" t="s">
        <v>16</v>
      </c>
      <c r="E11" s="7">
        <f>6.07289*1000</f>
        <v>6072.89</v>
      </c>
    </row>
    <row r="12" spans="1:5" ht="25.5" x14ac:dyDescent="0.2">
      <c r="A12" s="1">
        <v>3</v>
      </c>
      <c r="B12" s="45"/>
      <c r="C12" s="46"/>
      <c r="D12" s="8" t="s">
        <v>15</v>
      </c>
      <c r="E12" s="9">
        <f>E10*E11</f>
        <v>10093.143180000001</v>
      </c>
    </row>
    <row r="16" spans="1:5" x14ac:dyDescent="0.2">
      <c r="A16" s="42" t="s">
        <v>33</v>
      </c>
      <c r="B16" s="42"/>
      <c r="C16" s="42"/>
      <c r="D16" s="42"/>
      <c r="E16" s="42"/>
    </row>
    <row r="18" spans="1:5" x14ac:dyDescent="0.2">
      <c r="A18" s="10" t="s">
        <v>0</v>
      </c>
      <c r="B18" s="11" t="s">
        <v>18</v>
      </c>
      <c r="C18" s="11" t="s">
        <v>17</v>
      </c>
      <c r="D18" s="11" t="s">
        <v>1</v>
      </c>
      <c r="E18" s="24" t="s">
        <v>34</v>
      </c>
    </row>
    <row r="19" spans="1:5" ht="25.5" x14ac:dyDescent="0.2">
      <c r="A19" s="1">
        <v>1</v>
      </c>
      <c r="B19" s="38" t="s">
        <v>29</v>
      </c>
      <c r="C19" s="41" t="s">
        <v>19</v>
      </c>
      <c r="D19" s="4" t="s">
        <v>20</v>
      </c>
      <c r="E19" s="5">
        <f>134/1000</f>
        <v>0.13400000000000001</v>
      </c>
    </row>
    <row r="20" spans="1:5" x14ac:dyDescent="0.2">
      <c r="A20" s="1">
        <v>2</v>
      </c>
      <c r="B20" s="39"/>
      <c r="C20" s="41"/>
      <c r="D20" s="6" t="s">
        <v>16</v>
      </c>
      <c r="E20" s="7">
        <f>2.22228*1000</f>
        <v>2222.2800000000002</v>
      </c>
    </row>
    <row r="21" spans="1:5" ht="25.5" x14ac:dyDescent="0.2">
      <c r="A21" s="1">
        <v>3</v>
      </c>
      <c r="B21" s="40"/>
      <c r="C21" s="41"/>
      <c r="D21" s="8" t="s">
        <v>15</v>
      </c>
      <c r="E21" s="9">
        <f t="shared" ref="E21" si="1">E19*E20</f>
        <v>297.78552000000002</v>
      </c>
    </row>
    <row r="23" spans="1:5" x14ac:dyDescent="0.2">
      <c r="A23" s="10" t="s">
        <v>0</v>
      </c>
      <c r="B23" s="11" t="s">
        <v>18</v>
      </c>
      <c r="C23" s="11" t="s">
        <v>17</v>
      </c>
      <c r="D23" s="11" t="s">
        <v>1</v>
      </c>
      <c r="E23" s="24" t="s">
        <v>28</v>
      </c>
    </row>
    <row r="24" spans="1:5" ht="25.5" x14ac:dyDescent="0.2">
      <c r="A24" s="1">
        <v>1</v>
      </c>
      <c r="B24" s="38" t="s">
        <v>29</v>
      </c>
      <c r="C24" s="41" t="s">
        <v>19</v>
      </c>
      <c r="D24" s="4" t="s">
        <v>20</v>
      </c>
      <c r="E24" s="5">
        <f>-39/1000</f>
        <v>-3.9E-2</v>
      </c>
    </row>
    <row r="25" spans="1:5" x14ac:dyDescent="0.2">
      <c r="A25" s="1">
        <v>2</v>
      </c>
      <c r="B25" s="39"/>
      <c r="C25" s="41"/>
      <c r="D25" s="6" t="s">
        <v>16</v>
      </c>
      <c r="E25" s="7">
        <f>2.7612*1000</f>
        <v>2761.2000000000003</v>
      </c>
    </row>
    <row r="26" spans="1:5" ht="25.5" x14ac:dyDescent="0.2">
      <c r="A26" s="1">
        <v>3</v>
      </c>
      <c r="B26" s="40"/>
      <c r="C26" s="41"/>
      <c r="D26" s="8" t="s">
        <v>15</v>
      </c>
      <c r="E26" s="9">
        <f t="shared" ref="E26" si="2">E24*E25</f>
        <v>-107.68680000000001</v>
      </c>
    </row>
    <row r="28" spans="1:5" x14ac:dyDescent="0.2">
      <c r="A28" s="10" t="s">
        <v>0</v>
      </c>
      <c r="B28" s="11" t="s">
        <v>18</v>
      </c>
      <c r="C28" s="11" t="s">
        <v>17</v>
      </c>
      <c r="D28" s="11" t="s">
        <v>1</v>
      </c>
      <c r="E28" s="24" t="s">
        <v>35</v>
      </c>
    </row>
    <row r="29" spans="1:5" ht="25.5" x14ac:dyDescent="0.2">
      <c r="A29" s="1">
        <v>1</v>
      </c>
      <c r="B29" s="38" t="s">
        <v>29</v>
      </c>
      <c r="C29" s="41" t="s">
        <v>19</v>
      </c>
      <c r="D29" s="4" t="s">
        <v>20</v>
      </c>
      <c r="E29" s="5">
        <f>-20/1000</f>
        <v>-0.02</v>
      </c>
    </row>
    <row r="30" spans="1:5" x14ac:dyDescent="0.2">
      <c r="A30" s="1">
        <v>2</v>
      </c>
      <c r="B30" s="39"/>
      <c r="C30" s="41"/>
      <c r="D30" s="6" t="s">
        <v>16</v>
      </c>
      <c r="E30" s="7">
        <f>2.22335*1000</f>
        <v>2223.35</v>
      </c>
    </row>
    <row r="31" spans="1:5" ht="25.5" x14ac:dyDescent="0.2">
      <c r="A31" s="1">
        <v>3</v>
      </c>
      <c r="B31" s="40"/>
      <c r="C31" s="41"/>
      <c r="D31" s="8" t="s">
        <v>15</v>
      </c>
      <c r="E31" s="9">
        <f t="shared" ref="E31" si="3">E29*E30</f>
        <v>-44.466999999999999</v>
      </c>
    </row>
    <row r="34" spans="1:6" x14ac:dyDescent="0.2">
      <c r="B34" s="42" t="s">
        <v>32</v>
      </c>
      <c r="C34" s="42"/>
      <c r="D34" s="42"/>
      <c r="E34" s="42"/>
      <c r="F34" s="42"/>
    </row>
    <row r="36" spans="1:6" x14ac:dyDescent="0.2">
      <c r="A36" s="10" t="s">
        <v>0</v>
      </c>
      <c r="B36" s="11" t="s">
        <v>18</v>
      </c>
      <c r="C36" s="11" t="s">
        <v>17</v>
      </c>
      <c r="D36" s="11" t="s">
        <v>1</v>
      </c>
      <c r="E36" s="24" t="s">
        <v>36</v>
      </c>
    </row>
    <row r="37" spans="1:6" ht="25.5" x14ac:dyDescent="0.2">
      <c r="A37" s="1">
        <v>1</v>
      </c>
      <c r="B37" s="38" t="s">
        <v>29</v>
      </c>
      <c r="C37" s="41" t="s">
        <v>19</v>
      </c>
      <c r="D37" s="4" t="s">
        <v>20</v>
      </c>
      <c r="E37" s="5">
        <f>381/1000</f>
        <v>0.38100000000000001</v>
      </c>
    </row>
    <row r="38" spans="1:6" x14ac:dyDescent="0.2">
      <c r="A38" s="1">
        <v>2</v>
      </c>
      <c r="B38" s="39"/>
      <c r="C38" s="41"/>
      <c r="D38" s="6" t="s">
        <v>16</v>
      </c>
      <c r="E38" s="7">
        <f>2.77655*1000</f>
        <v>2776.5499999999997</v>
      </c>
    </row>
    <row r="39" spans="1:6" ht="25.5" x14ac:dyDescent="0.2">
      <c r="A39" s="1">
        <v>3</v>
      </c>
      <c r="B39" s="40"/>
      <c r="C39" s="41"/>
      <c r="D39" s="8" t="s">
        <v>15</v>
      </c>
      <c r="E39" s="9">
        <f t="shared" ref="E39" si="4">E37*E38</f>
        <v>1057.86555</v>
      </c>
    </row>
    <row r="41" spans="1:6" x14ac:dyDescent="0.2">
      <c r="A41" s="10" t="s">
        <v>0</v>
      </c>
      <c r="B41" s="11" t="s">
        <v>18</v>
      </c>
      <c r="C41" s="11" t="s">
        <v>17</v>
      </c>
      <c r="D41" s="11" t="s">
        <v>1</v>
      </c>
      <c r="E41" s="24" t="s">
        <v>37</v>
      </c>
    </row>
    <row r="42" spans="1:6" ht="25.5" x14ac:dyDescent="0.2">
      <c r="A42" s="1">
        <v>1</v>
      </c>
      <c r="B42" s="38" t="s">
        <v>29</v>
      </c>
      <c r="C42" s="41" t="s">
        <v>19</v>
      </c>
      <c r="D42" s="4" t="s">
        <v>20</v>
      </c>
      <c r="E42" s="5">
        <f>233/1000</f>
        <v>0.23300000000000001</v>
      </c>
    </row>
    <row r="43" spans="1:6" x14ac:dyDescent="0.2">
      <c r="A43" s="1">
        <v>2</v>
      </c>
      <c r="B43" s="39"/>
      <c r="C43" s="41"/>
      <c r="D43" s="6" t="s">
        <v>16</v>
      </c>
      <c r="E43" s="7">
        <f>2.97989*1000</f>
        <v>2979.8900000000003</v>
      </c>
    </row>
    <row r="44" spans="1:6" ht="25.5" x14ac:dyDescent="0.2">
      <c r="A44" s="1">
        <v>3</v>
      </c>
      <c r="B44" s="40"/>
      <c r="C44" s="41"/>
      <c r="D44" s="8" t="s">
        <v>15</v>
      </c>
      <c r="E44" s="9">
        <f t="shared" ref="E44" si="5">E42*E43</f>
        <v>694.31437000000017</v>
      </c>
    </row>
    <row r="46" spans="1:6" x14ac:dyDescent="0.2">
      <c r="A46" s="10" t="s">
        <v>0</v>
      </c>
      <c r="B46" s="11" t="s">
        <v>18</v>
      </c>
      <c r="C46" s="11" t="s">
        <v>17</v>
      </c>
      <c r="D46" s="11" t="s">
        <v>1</v>
      </c>
      <c r="E46" s="24" t="s">
        <v>38</v>
      </c>
    </row>
    <row r="47" spans="1:6" ht="25.5" x14ac:dyDescent="0.2">
      <c r="A47" s="1">
        <v>1</v>
      </c>
      <c r="B47" s="38" t="s">
        <v>29</v>
      </c>
      <c r="C47" s="41" t="s">
        <v>19</v>
      </c>
      <c r="D47" s="4" t="s">
        <v>20</v>
      </c>
      <c r="E47" s="5">
        <f>-38/1000</f>
        <v>-3.7999999999999999E-2</v>
      </c>
    </row>
    <row r="48" spans="1:6" x14ac:dyDescent="0.2">
      <c r="A48" s="1">
        <v>2</v>
      </c>
      <c r="B48" s="39"/>
      <c r="C48" s="41"/>
      <c r="D48" s="6" t="s">
        <v>16</v>
      </c>
      <c r="E48" s="7">
        <f>2.73845*1000</f>
        <v>2738.45</v>
      </c>
    </row>
    <row r="49" spans="1:5" ht="25.5" x14ac:dyDescent="0.2">
      <c r="A49" s="1">
        <v>3</v>
      </c>
      <c r="B49" s="40"/>
      <c r="C49" s="41"/>
      <c r="D49" s="8" t="s">
        <v>15</v>
      </c>
      <c r="E49" s="9">
        <f t="shared" ref="E49" si="6">E47*E48</f>
        <v>-104.0611</v>
      </c>
    </row>
    <row r="51" spans="1:5" x14ac:dyDescent="0.2">
      <c r="A51" s="10" t="s">
        <v>0</v>
      </c>
      <c r="B51" s="11" t="s">
        <v>18</v>
      </c>
      <c r="C51" s="11" t="s">
        <v>17</v>
      </c>
      <c r="D51" s="11" t="s">
        <v>1</v>
      </c>
      <c r="E51" s="24" t="s">
        <v>39</v>
      </c>
    </row>
    <row r="52" spans="1:5" ht="25.5" x14ac:dyDescent="0.2">
      <c r="A52" s="1">
        <v>1</v>
      </c>
      <c r="B52" s="38" t="s">
        <v>29</v>
      </c>
      <c r="C52" s="41" t="s">
        <v>19</v>
      </c>
      <c r="D52" s="4" t="s">
        <v>20</v>
      </c>
      <c r="E52" s="5">
        <f>225/1000</f>
        <v>0.22500000000000001</v>
      </c>
    </row>
    <row r="53" spans="1:5" x14ac:dyDescent="0.2">
      <c r="A53" s="1">
        <v>2</v>
      </c>
      <c r="B53" s="39"/>
      <c r="C53" s="41"/>
      <c r="D53" s="6" t="s">
        <v>16</v>
      </c>
      <c r="E53" s="7">
        <f>2.32566*1000</f>
        <v>2325.66</v>
      </c>
    </row>
    <row r="54" spans="1:5" ht="25.5" x14ac:dyDescent="0.2">
      <c r="A54" s="1">
        <v>3</v>
      </c>
      <c r="B54" s="40"/>
      <c r="C54" s="41"/>
      <c r="D54" s="8" t="s">
        <v>15</v>
      </c>
      <c r="E54" s="9">
        <f t="shared" ref="E54" si="7">E52*E53</f>
        <v>523.27350000000001</v>
      </c>
    </row>
    <row r="56" spans="1:5" x14ac:dyDescent="0.2">
      <c r="A56" s="10" t="s">
        <v>0</v>
      </c>
      <c r="B56" s="11" t="s">
        <v>18</v>
      </c>
      <c r="C56" s="11" t="s">
        <v>17</v>
      </c>
      <c r="D56" s="11" t="s">
        <v>1</v>
      </c>
      <c r="E56" s="24" t="s">
        <v>40</v>
      </c>
    </row>
    <row r="57" spans="1:5" ht="25.5" x14ac:dyDescent="0.2">
      <c r="A57" s="1">
        <v>1</v>
      </c>
      <c r="B57" s="38" t="s">
        <v>29</v>
      </c>
      <c r="C57" s="41" t="s">
        <v>19</v>
      </c>
      <c r="D57" s="4" t="s">
        <v>20</v>
      </c>
      <c r="E57" s="5">
        <f>126/1000</f>
        <v>0.126</v>
      </c>
    </row>
    <row r="58" spans="1:5" x14ac:dyDescent="0.2">
      <c r="A58" s="1">
        <v>2</v>
      </c>
      <c r="B58" s="39"/>
      <c r="C58" s="41"/>
      <c r="D58" s="6" t="s">
        <v>16</v>
      </c>
      <c r="E58" s="7">
        <f>2.53512*1000</f>
        <v>2535.12</v>
      </c>
    </row>
    <row r="59" spans="1:5" ht="25.5" x14ac:dyDescent="0.2">
      <c r="A59" s="1">
        <v>3</v>
      </c>
      <c r="B59" s="40"/>
      <c r="C59" s="41"/>
      <c r="D59" s="8" t="s">
        <v>15</v>
      </c>
      <c r="E59" s="9">
        <f t="shared" ref="E59" si="8">E57*E58</f>
        <v>319.42511999999999</v>
      </c>
    </row>
    <row r="61" spans="1:5" x14ac:dyDescent="0.2">
      <c r="A61" s="10" t="s">
        <v>0</v>
      </c>
      <c r="B61" s="11" t="s">
        <v>18</v>
      </c>
      <c r="C61" s="11" t="s">
        <v>17</v>
      </c>
      <c r="D61" s="11" t="s">
        <v>1</v>
      </c>
      <c r="E61" s="24" t="s">
        <v>41</v>
      </c>
    </row>
    <row r="62" spans="1:5" ht="25.5" x14ac:dyDescent="0.2">
      <c r="A62" s="1">
        <v>1</v>
      </c>
      <c r="B62" s="38" t="s">
        <v>29</v>
      </c>
      <c r="C62" s="41" t="s">
        <v>19</v>
      </c>
      <c r="D62" s="4" t="s">
        <v>20</v>
      </c>
      <c r="E62" s="5">
        <f>187/1000</f>
        <v>0.187</v>
      </c>
    </row>
    <row r="63" spans="1:5" x14ac:dyDescent="0.2">
      <c r="A63" s="1">
        <v>2</v>
      </c>
      <c r="B63" s="39"/>
      <c r="C63" s="41"/>
      <c r="D63" s="6" t="s">
        <v>16</v>
      </c>
      <c r="E63" s="7">
        <f>2.55535*1000</f>
        <v>2555.35</v>
      </c>
    </row>
    <row r="64" spans="1:5" ht="25.5" x14ac:dyDescent="0.2">
      <c r="A64" s="1">
        <v>3</v>
      </c>
      <c r="B64" s="40"/>
      <c r="C64" s="41"/>
      <c r="D64" s="8" t="s">
        <v>15</v>
      </c>
      <c r="E64" s="9">
        <f t="shared" ref="E64" si="9">E62*E63</f>
        <v>477.85044999999997</v>
      </c>
    </row>
    <row r="66" spans="1:5" x14ac:dyDescent="0.2">
      <c r="A66" s="10" t="s">
        <v>0</v>
      </c>
      <c r="B66" s="11" t="s">
        <v>18</v>
      </c>
      <c r="C66" s="11" t="s">
        <v>17</v>
      </c>
      <c r="D66" s="11" t="s">
        <v>1</v>
      </c>
      <c r="E66" s="24" t="s">
        <v>42</v>
      </c>
    </row>
    <row r="67" spans="1:5" ht="25.5" x14ac:dyDescent="0.2">
      <c r="A67" s="1">
        <v>1</v>
      </c>
      <c r="B67" s="38" t="s">
        <v>29</v>
      </c>
      <c r="C67" s="41" t="s">
        <v>19</v>
      </c>
      <c r="D67" s="4" t="s">
        <v>20</v>
      </c>
      <c r="E67" s="5">
        <f>20/1000</f>
        <v>0.02</v>
      </c>
    </row>
    <row r="68" spans="1:5" x14ac:dyDescent="0.2">
      <c r="A68" s="1">
        <v>2</v>
      </c>
      <c r="B68" s="39"/>
      <c r="C68" s="41"/>
      <c r="D68" s="6" t="s">
        <v>16</v>
      </c>
      <c r="E68" s="7">
        <f>2.65631*1000</f>
        <v>2656.31</v>
      </c>
    </row>
    <row r="69" spans="1:5" ht="25.5" x14ac:dyDescent="0.2">
      <c r="A69" s="1">
        <v>3</v>
      </c>
      <c r="B69" s="40"/>
      <c r="C69" s="41"/>
      <c r="D69" s="8" t="s">
        <v>15</v>
      </c>
      <c r="E69" s="9">
        <f t="shared" ref="E69" si="10">E67*E68</f>
        <v>53.126199999999997</v>
      </c>
    </row>
    <row r="71" spans="1:5" x14ac:dyDescent="0.2">
      <c r="A71" s="10" t="s">
        <v>0</v>
      </c>
      <c r="B71" s="11" t="s">
        <v>18</v>
      </c>
      <c r="C71" s="11" t="s">
        <v>17</v>
      </c>
      <c r="D71" s="11" t="s">
        <v>1</v>
      </c>
      <c r="E71" s="24" t="s">
        <v>43</v>
      </c>
    </row>
    <row r="72" spans="1:5" ht="25.5" x14ac:dyDescent="0.2">
      <c r="A72" s="1">
        <v>1</v>
      </c>
      <c r="B72" s="38" t="s">
        <v>29</v>
      </c>
      <c r="C72" s="41" t="s">
        <v>19</v>
      </c>
      <c r="D72" s="4" t="s">
        <v>20</v>
      </c>
      <c r="E72" s="5">
        <f>-61/1000</f>
        <v>-6.0999999999999999E-2</v>
      </c>
    </row>
    <row r="73" spans="1:5" x14ac:dyDescent="0.2">
      <c r="A73" s="1">
        <v>2</v>
      </c>
      <c r="B73" s="39"/>
      <c r="C73" s="41"/>
      <c r="D73" s="6" t="s">
        <v>16</v>
      </c>
      <c r="E73" s="7">
        <f>2.59122*1000</f>
        <v>2591.2199999999998</v>
      </c>
    </row>
    <row r="74" spans="1:5" ht="25.5" x14ac:dyDescent="0.2">
      <c r="A74" s="1">
        <v>3</v>
      </c>
      <c r="B74" s="40"/>
      <c r="C74" s="41"/>
      <c r="D74" s="8" t="s">
        <v>15</v>
      </c>
      <c r="E74" s="9">
        <f t="shared" ref="E74" si="11">E72*E73</f>
        <v>-158.06441999999998</v>
      </c>
    </row>
    <row r="76" spans="1:5" x14ac:dyDescent="0.2">
      <c r="A76" s="10" t="s">
        <v>0</v>
      </c>
      <c r="B76" s="11" t="s">
        <v>18</v>
      </c>
      <c r="C76" s="11" t="s">
        <v>17</v>
      </c>
      <c r="D76" s="11" t="s">
        <v>1</v>
      </c>
      <c r="E76" s="24" t="s">
        <v>44</v>
      </c>
    </row>
    <row r="77" spans="1:5" ht="25.5" x14ac:dyDescent="0.2">
      <c r="A77" s="1">
        <v>1</v>
      </c>
      <c r="B77" s="38" t="s">
        <v>29</v>
      </c>
      <c r="C77" s="41" t="s">
        <v>19</v>
      </c>
      <c r="D77" s="4" t="s">
        <v>20</v>
      </c>
      <c r="E77" s="5">
        <f>241/1000</f>
        <v>0.24099999999999999</v>
      </c>
    </row>
    <row r="78" spans="1:5" x14ac:dyDescent="0.2">
      <c r="A78" s="1">
        <v>2</v>
      </c>
      <c r="B78" s="39"/>
      <c r="C78" s="41"/>
      <c r="D78" s="6" t="s">
        <v>16</v>
      </c>
      <c r="E78" s="7">
        <f>2.58671*1000</f>
        <v>2586.71</v>
      </c>
    </row>
    <row r="79" spans="1:5" ht="25.5" x14ac:dyDescent="0.2">
      <c r="A79" s="1">
        <v>3</v>
      </c>
      <c r="B79" s="40"/>
      <c r="C79" s="41"/>
      <c r="D79" s="8" t="s">
        <v>15</v>
      </c>
      <c r="E79" s="9">
        <f t="shared" ref="E79" si="12">E77*E78</f>
        <v>623.39711</v>
      </c>
    </row>
    <row r="81" spans="1:6" x14ac:dyDescent="0.2">
      <c r="A81" s="10" t="s">
        <v>0</v>
      </c>
      <c r="B81" s="11" t="s">
        <v>18</v>
      </c>
      <c r="C81" s="11" t="s">
        <v>17</v>
      </c>
      <c r="D81" s="11" t="s">
        <v>1</v>
      </c>
      <c r="E81" s="24" t="s">
        <v>31</v>
      </c>
    </row>
    <row r="82" spans="1:6" ht="25.5" x14ac:dyDescent="0.2">
      <c r="A82" s="1">
        <v>1</v>
      </c>
      <c r="B82" s="38" t="s">
        <v>29</v>
      </c>
      <c r="C82" s="41" t="s">
        <v>19</v>
      </c>
      <c r="D82" s="4" t="s">
        <v>20</v>
      </c>
      <c r="E82" s="5">
        <f>-149/1000</f>
        <v>-0.14899999999999999</v>
      </c>
    </row>
    <row r="83" spans="1:6" x14ac:dyDescent="0.2">
      <c r="A83" s="1">
        <v>2</v>
      </c>
      <c r="B83" s="39"/>
      <c r="C83" s="41"/>
      <c r="D83" s="6" t="s">
        <v>16</v>
      </c>
      <c r="E83" s="7">
        <f>2.66155*1000</f>
        <v>2661.55</v>
      </c>
    </row>
    <row r="84" spans="1:6" ht="25.5" x14ac:dyDescent="0.2">
      <c r="A84" s="1">
        <v>3</v>
      </c>
      <c r="B84" s="40"/>
      <c r="C84" s="41"/>
      <c r="D84" s="8" t="s">
        <v>15</v>
      </c>
      <c r="E84" s="9">
        <f t="shared" ref="E84" si="13">E82*E83</f>
        <v>-396.57094999999998</v>
      </c>
    </row>
    <row r="86" spans="1:6" x14ac:dyDescent="0.2">
      <c r="A86" s="10" t="s">
        <v>0</v>
      </c>
      <c r="B86" s="11" t="s">
        <v>18</v>
      </c>
      <c r="C86" s="11" t="s">
        <v>17</v>
      </c>
      <c r="D86" s="11" t="s">
        <v>1</v>
      </c>
      <c r="E86" s="24" t="s">
        <v>45</v>
      </c>
    </row>
    <row r="87" spans="1:6" ht="25.5" x14ac:dyDescent="0.2">
      <c r="A87" s="1">
        <v>1</v>
      </c>
      <c r="B87" s="38" t="s">
        <v>29</v>
      </c>
      <c r="C87" s="41" t="s">
        <v>19</v>
      </c>
      <c r="D87" s="4" t="s">
        <v>20</v>
      </c>
      <c r="E87" s="5">
        <f>341/1000</f>
        <v>0.34100000000000003</v>
      </c>
    </row>
    <row r="88" spans="1:6" x14ac:dyDescent="0.2">
      <c r="A88" s="1">
        <v>2</v>
      </c>
      <c r="B88" s="39"/>
      <c r="C88" s="41"/>
      <c r="D88" s="6" t="s">
        <v>16</v>
      </c>
      <c r="E88" s="7">
        <f>2.78005*1000</f>
        <v>2780.05</v>
      </c>
    </row>
    <row r="89" spans="1:6" ht="25.5" x14ac:dyDescent="0.2">
      <c r="A89" s="1">
        <v>3</v>
      </c>
      <c r="B89" s="40"/>
      <c r="C89" s="41"/>
      <c r="D89" s="8" t="s">
        <v>15</v>
      </c>
      <c r="E89" s="9">
        <f t="shared" ref="E89" si="14">E87*E88</f>
        <v>947.99705000000017</v>
      </c>
    </row>
    <row r="91" spans="1:6" x14ac:dyDescent="0.2">
      <c r="A91" s="10" t="s">
        <v>0</v>
      </c>
      <c r="B91" s="11" t="s">
        <v>18</v>
      </c>
      <c r="C91" s="11" t="s">
        <v>17</v>
      </c>
      <c r="D91" s="11" t="s">
        <v>1</v>
      </c>
      <c r="E91" s="24" t="s">
        <v>46</v>
      </c>
    </row>
    <row r="92" spans="1:6" ht="25.5" x14ac:dyDescent="0.2">
      <c r="A92" s="1">
        <v>1</v>
      </c>
      <c r="B92" s="38" t="s">
        <v>29</v>
      </c>
      <c r="C92" s="41" t="s">
        <v>19</v>
      </c>
      <c r="D92" s="4" t="s">
        <v>20</v>
      </c>
      <c r="E92" s="5">
        <f>80/1000</f>
        <v>0.08</v>
      </c>
    </row>
    <row r="93" spans="1:6" x14ac:dyDescent="0.2">
      <c r="A93" s="1">
        <v>2</v>
      </c>
      <c r="B93" s="39"/>
      <c r="C93" s="41"/>
      <c r="D93" s="6" t="s">
        <v>16</v>
      </c>
      <c r="E93" s="7">
        <f>2.64627*1000</f>
        <v>2646.27</v>
      </c>
    </row>
    <row r="94" spans="1:6" ht="25.5" x14ac:dyDescent="0.2">
      <c r="A94" s="1">
        <v>3</v>
      </c>
      <c r="B94" s="40"/>
      <c r="C94" s="41"/>
      <c r="D94" s="8" t="s">
        <v>15</v>
      </c>
      <c r="E94" s="9">
        <f t="shared" ref="E94" si="15">E92*E93</f>
        <v>211.70160000000001</v>
      </c>
    </row>
    <row r="96" spans="1:6" x14ac:dyDescent="0.2">
      <c r="B96" s="42" t="s">
        <v>47</v>
      </c>
      <c r="C96" s="42"/>
      <c r="D96" s="42"/>
      <c r="E96" s="42"/>
      <c r="F96" s="42"/>
    </row>
    <row r="98" spans="1:5" x14ac:dyDescent="0.2">
      <c r="A98" s="10" t="s">
        <v>0</v>
      </c>
      <c r="B98" s="11" t="s">
        <v>18</v>
      </c>
      <c r="C98" s="11" t="s">
        <v>17</v>
      </c>
      <c r="D98" s="11" t="s">
        <v>1</v>
      </c>
      <c r="E98" s="24" t="s">
        <v>48</v>
      </c>
    </row>
    <row r="99" spans="1:5" ht="25.5" x14ac:dyDescent="0.2">
      <c r="A99" s="1">
        <v>1</v>
      </c>
      <c r="B99" s="38" t="s">
        <v>29</v>
      </c>
      <c r="C99" s="41" t="s">
        <v>19</v>
      </c>
      <c r="D99" s="4" t="s">
        <v>20</v>
      </c>
      <c r="E99" s="5">
        <f>236/1000</f>
        <v>0.23599999999999999</v>
      </c>
    </row>
    <row r="100" spans="1:5" x14ac:dyDescent="0.2">
      <c r="A100" s="1">
        <v>2</v>
      </c>
      <c r="B100" s="39"/>
      <c r="C100" s="41"/>
      <c r="D100" s="6" t="s">
        <v>16</v>
      </c>
      <c r="E100" s="7">
        <f>3.09056*1000</f>
        <v>3090.56</v>
      </c>
    </row>
    <row r="101" spans="1:5" ht="25.5" x14ac:dyDescent="0.2">
      <c r="A101" s="1">
        <v>3</v>
      </c>
      <c r="B101" s="40"/>
      <c r="C101" s="41"/>
      <c r="D101" s="8" t="s">
        <v>15</v>
      </c>
      <c r="E101" s="9">
        <f t="shared" ref="E101" si="16">E99*E100</f>
        <v>729.37215999999989</v>
      </c>
    </row>
    <row r="103" spans="1:5" x14ac:dyDescent="0.2">
      <c r="A103" s="10" t="s">
        <v>0</v>
      </c>
      <c r="B103" s="11" t="s">
        <v>18</v>
      </c>
      <c r="C103" s="11" t="s">
        <v>17</v>
      </c>
      <c r="D103" s="11" t="s">
        <v>1</v>
      </c>
      <c r="E103" s="24" t="s">
        <v>49</v>
      </c>
    </row>
    <row r="104" spans="1:5" ht="25.5" x14ac:dyDescent="0.2">
      <c r="A104" s="1">
        <v>1</v>
      </c>
      <c r="B104" s="38" t="s">
        <v>29</v>
      </c>
      <c r="C104" s="41" t="s">
        <v>19</v>
      </c>
      <c r="D104" s="4" t="s">
        <v>20</v>
      </c>
      <c r="E104" s="5">
        <f>-54/1000</f>
        <v>-5.3999999999999999E-2</v>
      </c>
    </row>
    <row r="105" spans="1:5" x14ac:dyDescent="0.2">
      <c r="A105" s="1">
        <v>2</v>
      </c>
      <c r="B105" s="39"/>
      <c r="C105" s="41"/>
      <c r="D105" s="6" t="s">
        <v>16</v>
      </c>
      <c r="E105" s="7">
        <f>3.42846*1000</f>
        <v>3428.46</v>
      </c>
    </row>
    <row r="106" spans="1:5" ht="25.5" x14ac:dyDescent="0.2">
      <c r="A106" s="1">
        <v>3</v>
      </c>
      <c r="B106" s="40"/>
      <c r="C106" s="41"/>
      <c r="D106" s="8" t="s">
        <v>15</v>
      </c>
      <c r="E106" s="9">
        <f t="shared" ref="E106" si="17">E104*E105</f>
        <v>-185.13684000000001</v>
      </c>
    </row>
    <row r="108" spans="1:5" x14ac:dyDescent="0.2">
      <c r="A108" s="10" t="s">
        <v>0</v>
      </c>
      <c r="B108" s="11" t="s">
        <v>18</v>
      </c>
      <c r="C108" s="11" t="s">
        <v>17</v>
      </c>
      <c r="D108" s="11" t="s">
        <v>1</v>
      </c>
      <c r="E108" s="24" t="s">
        <v>50</v>
      </c>
    </row>
    <row r="109" spans="1:5" ht="25.5" x14ac:dyDescent="0.2">
      <c r="A109" s="1">
        <v>1</v>
      </c>
      <c r="B109" s="38" t="s">
        <v>29</v>
      </c>
      <c r="C109" s="41" t="s">
        <v>19</v>
      </c>
      <c r="D109" s="4" t="s">
        <v>20</v>
      </c>
      <c r="E109" s="5">
        <f>-308/1000</f>
        <v>-0.308</v>
      </c>
    </row>
    <row r="110" spans="1:5" x14ac:dyDescent="0.2">
      <c r="A110" s="1">
        <v>2</v>
      </c>
      <c r="B110" s="39"/>
      <c r="C110" s="41"/>
      <c r="D110" s="6" t="s">
        <v>16</v>
      </c>
      <c r="E110" s="7">
        <f>2.74556*1000</f>
        <v>2745.56</v>
      </c>
    </row>
    <row r="111" spans="1:5" ht="25.5" x14ac:dyDescent="0.2">
      <c r="A111" s="1">
        <v>3</v>
      </c>
      <c r="B111" s="40"/>
      <c r="C111" s="41"/>
      <c r="D111" s="8" t="s">
        <v>15</v>
      </c>
      <c r="E111" s="9">
        <f t="shared" ref="E111" si="18">E109*E110</f>
        <v>-845.63247999999999</v>
      </c>
    </row>
    <row r="113" spans="1:5" x14ac:dyDescent="0.2">
      <c r="A113" s="10" t="s">
        <v>0</v>
      </c>
      <c r="B113" s="11" t="s">
        <v>18</v>
      </c>
      <c r="C113" s="11" t="s">
        <v>17</v>
      </c>
      <c r="D113" s="11" t="s">
        <v>1</v>
      </c>
      <c r="E113" s="24" t="s">
        <v>51</v>
      </c>
    </row>
    <row r="114" spans="1:5" ht="25.5" x14ac:dyDescent="0.2">
      <c r="A114" s="1">
        <v>1</v>
      </c>
      <c r="B114" s="38" t="s">
        <v>29</v>
      </c>
      <c r="C114" s="41" t="s">
        <v>19</v>
      </c>
      <c r="D114" s="4" t="s">
        <v>20</v>
      </c>
      <c r="E114" s="5">
        <f>35/1000</f>
        <v>3.5000000000000003E-2</v>
      </c>
    </row>
    <row r="115" spans="1:5" x14ac:dyDescent="0.2">
      <c r="A115" s="1">
        <v>2</v>
      </c>
      <c r="B115" s="39"/>
      <c r="C115" s="41"/>
      <c r="D115" s="6" t="s">
        <v>16</v>
      </c>
      <c r="E115" s="7">
        <f>2.60922*1000</f>
        <v>2609.2200000000003</v>
      </c>
    </row>
    <row r="116" spans="1:5" ht="25.5" x14ac:dyDescent="0.2">
      <c r="A116" s="1">
        <v>3</v>
      </c>
      <c r="B116" s="40"/>
      <c r="C116" s="41"/>
      <c r="D116" s="8" t="s">
        <v>15</v>
      </c>
      <c r="E116" s="9">
        <f t="shared" ref="E116" si="19">E114*E115</f>
        <v>91.322700000000012</v>
      </c>
    </row>
    <row r="118" spans="1:5" x14ac:dyDescent="0.2">
      <c r="A118" s="10" t="s">
        <v>0</v>
      </c>
      <c r="B118" s="11" t="s">
        <v>18</v>
      </c>
      <c r="C118" s="11" t="s">
        <v>17</v>
      </c>
      <c r="D118" s="11" t="s">
        <v>1</v>
      </c>
      <c r="E118" s="24" t="s">
        <v>52</v>
      </c>
    </row>
    <row r="119" spans="1:5" ht="25.5" x14ac:dyDescent="0.2">
      <c r="A119" s="1">
        <v>1</v>
      </c>
      <c r="B119" s="38" t="s">
        <v>29</v>
      </c>
      <c r="C119" s="41" t="s">
        <v>19</v>
      </c>
      <c r="D119" s="4" t="s">
        <v>20</v>
      </c>
      <c r="E119" s="5">
        <f>-588/1000</f>
        <v>-0.58799999999999997</v>
      </c>
    </row>
    <row r="120" spans="1:5" x14ac:dyDescent="0.2">
      <c r="A120" s="1">
        <v>2</v>
      </c>
      <c r="B120" s="39"/>
      <c r="C120" s="41"/>
      <c r="D120" s="6" t="s">
        <v>16</v>
      </c>
      <c r="E120" s="7">
        <f>2.39426*1000</f>
        <v>2394.2600000000002</v>
      </c>
    </row>
    <row r="121" spans="1:5" ht="25.5" x14ac:dyDescent="0.2">
      <c r="A121" s="1">
        <v>3</v>
      </c>
      <c r="B121" s="40"/>
      <c r="C121" s="41"/>
      <c r="D121" s="8" t="s">
        <v>15</v>
      </c>
      <c r="E121" s="9">
        <f t="shared" ref="E121" si="20">E119*E120</f>
        <v>-1407.8248800000001</v>
      </c>
    </row>
    <row r="123" spans="1:5" x14ac:dyDescent="0.2">
      <c r="A123" s="10" t="s">
        <v>0</v>
      </c>
      <c r="B123" s="11" t="s">
        <v>18</v>
      </c>
      <c r="C123" s="11" t="s">
        <v>17</v>
      </c>
      <c r="D123" s="11" t="s">
        <v>1</v>
      </c>
      <c r="E123" s="24" t="s">
        <v>53</v>
      </c>
    </row>
    <row r="124" spans="1:5" ht="25.5" x14ac:dyDescent="0.2">
      <c r="A124" s="1">
        <v>1</v>
      </c>
      <c r="B124" s="38" t="s">
        <v>29</v>
      </c>
      <c r="C124" s="41" t="s">
        <v>19</v>
      </c>
      <c r="D124" s="4" t="s">
        <v>20</v>
      </c>
      <c r="E124" s="5">
        <f>350/1000</f>
        <v>0.35</v>
      </c>
    </row>
    <row r="125" spans="1:5" x14ac:dyDescent="0.2">
      <c r="A125" s="1">
        <v>2</v>
      </c>
      <c r="B125" s="39"/>
      <c r="C125" s="41"/>
      <c r="D125" s="6" t="s">
        <v>16</v>
      </c>
      <c r="E125" s="7">
        <f>2.88208*1000</f>
        <v>2882.0800000000004</v>
      </c>
    </row>
    <row r="126" spans="1:5" ht="25.5" x14ac:dyDescent="0.2">
      <c r="A126" s="1">
        <v>3</v>
      </c>
      <c r="B126" s="40"/>
      <c r="C126" s="41"/>
      <c r="D126" s="8" t="s">
        <v>15</v>
      </c>
      <c r="E126" s="9">
        <f t="shared" ref="E126" si="21">E124*E125</f>
        <v>1008.7280000000001</v>
      </c>
    </row>
    <row r="128" spans="1:5" x14ac:dyDescent="0.2">
      <c r="A128" s="10" t="s">
        <v>0</v>
      </c>
      <c r="B128" s="11" t="s">
        <v>18</v>
      </c>
      <c r="C128" s="11" t="s">
        <v>17</v>
      </c>
      <c r="D128" s="11" t="s">
        <v>1</v>
      </c>
      <c r="E128" s="24" t="s">
        <v>54</v>
      </c>
    </row>
    <row r="129" spans="1:5" ht="25.5" x14ac:dyDescent="0.2">
      <c r="A129" s="1">
        <v>1</v>
      </c>
      <c r="B129" s="38" t="s">
        <v>29</v>
      </c>
      <c r="C129" s="41" t="s">
        <v>19</v>
      </c>
      <c r="D129" s="4" t="s">
        <v>20</v>
      </c>
      <c r="E129" s="5">
        <f>-349/1000</f>
        <v>-0.34899999999999998</v>
      </c>
    </row>
    <row r="130" spans="1:5" x14ac:dyDescent="0.2">
      <c r="A130" s="1">
        <v>2</v>
      </c>
      <c r="B130" s="39"/>
      <c r="C130" s="41"/>
      <c r="D130" s="6" t="s">
        <v>16</v>
      </c>
      <c r="E130" s="7">
        <f>3.30536*1000</f>
        <v>3305.3599999999997</v>
      </c>
    </row>
    <row r="131" spans="1:5" ht="25.5" x14ac:dyDescent="0.2">
      <c r="A131" s="1">
        <v>3</v>
      </c>
      <c r="B131" s="40"/>
      <c r="C131" s="41"/>
      <c r="D131" s="8" t="s">
        <v>15</v>
      </c>
      <c r="E131" s="9">
        <f t="shared" ref="E131" si="22">E129*E130</f>
        <v>-1153.5706399999999</v>
      </c>
    </row>
    <row r="133" spans="1:5" x14ac:dyDescent="0.2">
      <c r="A133" s="10" t="s">
        <v>0</v>
      </c>
      <c r="B133" s="11" t="s">
        <v>18</v>
      </c>
      <c r="C133" s="11" t="s">
        <v>17</v>
      </c>
      <c r="D133" s="11" t="s">
        <v>1</v>
      </c>
      <c r="E133" s="24" t="s">
        <v>55</v>
      </c>
    </row>
    <row r="134" spans="1:5" ht="25.5" x14ac:dyDescent="0.2">
      <c r="A134" s="1">
        <v>1</v>
      </c>
      <c r="B134" s="38" t="s">
        <v>29</v>
      </c>
      <c r="C134" s="41" t="s">
        <v>19</v>
      </c>
      <c r="D134" s="4" t="s">
        <v>20</v>
      </c>
      <c r="E134" s="5">
        <f>13832/1000</f>
        <v>13.832000000000001</v>
      </c>
    </row>
    <row r="135" spans="1:5" x14ac:dyDescent="0.2">
      <c r="A135" s="1">
        <v>2</v>
      </c>
      <c r="B135" s="39"/>
      <c r="C135" s="41"/>
      <c r="D135" s="6" t="s">
        <v>16</v>
      </c>
      <c r="E135" s="7">
        <f>3.37049*1000</f>
        <v>3370.4900000000002</v>
      </c>
    </row>
    <row r="136" spans="1:5" ht="25.5" x14ac:dyDescent="0.2">
      <c r="A136" s="1">
        <v>3</v>
      </c>
      <c r="B136" s="40"/>
      <c r="C136" s="41"/>
      <c r="D136" s="8" t="s">
        <v>15</v>
      </c>
      <c r="E136" s="9">
        <f t="shared" ref="E136" si="23">E134*E135</f>
        <v>46620.617680000003</v>
      </c>
    </row>
    <row r="138" spans="1:5" x14ac:dyDescent="0.2">
      <c r="D138" s="28" t="s">
        <v>21</v>
      </c>
      <c r="E138" s="31">
        <v>44845</v>
      </c>
    </row>
  </sheetData>
  <mergeCells count="55">
    <mergeCell ref="A1:E1"/>
    <mergeCell ref="A2:E2"/>
    <mergeCell ref="B5:B7"/>
    <mergeCell ref="C5:C7"/>
    <mergeCell ref="A16:E16"/>
    <mergeCell ref="B10:B12"/>
    <mergeCell ref="C10:C12"/>
    <mergeCell ref="B19:B21"/>
    <mergeCell ref="C19:C21"/>
    <mergeCell ref="B24:B26"/>
    <mergeCell ref="C24:C26"/>
    <mergeCell ref="B29:B31"/>
    <mergeCell ref="C29:C31"/>
    <mergeCell ref="B34:F34"/>
    <mergeCell ref="B37:B39"/>
    <mergeCell ref="C37:C39"/>
    <mergeCell ref="B42:B44"/>
    <mergeCell ref="C42:C44"/>
    <mergeCell ref="B47:B49"/>
    <mergeCell ref="C47:C49"/>
    <mergeCell ref="B52:B54"/>
    <mergeCell ref="C52:C54"/>
    <mergeCell ref="B57:B59"/>
    <mergeCell ref="C57:C59"/>
    <mergeCell ref="B62:B64"/>
    <mergeCell ref="C62:C64"/>
    <mergeCell ref="B67:B69"/>
    <mergeCell ref="C67:C69"/>
    <mergeCell ref="B72:B74"/>
    <mergeCell ref="C72:C74"/>
    <mergeCell ref="B77:B79"/>
    <mergeCell ref="C77:C79"/>
    <mergeCell ref="B82:B84"/>
    <mergeCell ref="C82:C84"/>
    <mergeCell ref="B87:B89"/>
    <mergeCell ref="C87:C89"/>
    <mergeCell ref="B92:B94"/>
    <mergeCell ref="C92:C94"/>
    <mergeCell ref="B96:F96"/>
    <mergeCell ref="B99:B101"/>
    <mergeCell ref="C99:C101"/>
    <mergeCell ref="B104:B106"/>
    <mergeCell ref="C104:C106"/>
    <mergeCell ref="B109:B111"/>
    <mergeCell ref="C109:C111"/>
    <mergeCell ref="B114:B116"/>
    <mergeCell ref="C114:C116"/>
    <mergeCell ref="B134:B136"/>
    <mergeCell ref="C134:C136"/>
    <mergeCell ref="B119:B121"/>
    <mergeCell ref="C119:C121"/>
    <mergeCell ref="B124:B126"/>
    <mergeCell ref="C124:C126"/>
    <mergeCell ref="B129:B131"/>
    <mergeCell ref="C129:C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2023-03-13T06:41:40Z</dcterms:modified>
</cp:coreProperties>
</file>