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4\ГЭС\Раскрытие на сайте\"/>
    </mc:Choice>
  </mc:AlternateContent>
  <bookViews>
    <workbookView xWindow="-15" yWindow="45" windowWidth="14520" windowHeight="12795" activeTab="10"/>
  </bookViews>
  <sheets>
    <sheet name="Январь" sheetId="4" r:id="rId1"/>
    <sheet name="Февраль" sheetId="5" r:id="rId2"/>
    <sheet name="Март" sheetId="6" r:id="rId3"/>
    <sheet name="Апрель" sheetId="7" r:id="rId4"/>
    <sheet name="Май" sheetId="8" r:id="rId5"/>
    <sheet name="Июнь" sheetId="9" r:id="rId6"/>
    <sheet name="Июль" sheetId="10" r:id="rId7"/>
    <sheet name="Август" sheetId="11" r:id="rId8"/>
    <sheet name="Сентябрь" sheetId="12" r:id="rId9"/>
    <sheet name="Октябрь" sheetId="13" r:id="rId10"/>
    <sheet name="Ноябрь" sheetId="14" r:id="rId11"/>
    <sheet name="Декабрь" sheetId="15" state="hidden" r:id="rId12"/>
    <sheet name="Лист1" sheetId="16" state="hidden" r:id="rId13"/>
    <sheet name="Лист2" sheetId="17" state="hidden" r:id="rId14"/>
  </sheets>
  <calcPr calcId="162913"/>
</workbook>
</file>

<file path=xl/calcChain.xml><?xml version="1.0" encoding="utf-8"?>
<calcChain xmlns="http://schemas.openxmlformats.org/spreadsheetml/2006/main">
  <c r="E6" i="14" l="1"/>
  <c r="E5" i="14"/>
  <c r="E11" i="12" l="1"/>
  <c r="E10" i="12"/>
  <c r="E12" i="12" s="1"/>
  <c r="E6" i="13" l="1"/>
  <c r="E5" i="13"/>
  <c r="E6" i="12" l="1"/>
  <c r="E5" i="12"/>
  <c r="E11" i="10" l="1"/>
  <c r="E10" i="10"/>
  <c r="E6" i="11" l="1"/>
  <c r="E5" i="11"/>
  <c r="E11" i="9" l="1"/>
  <c r="E10" i="9"/>
  <c r="E6" i="10" l="1"/>
  <c r="E5" i="10"/>
  <c r="E6" i="9" l="1"/>
  <c r="E5" i="9"/>
  <c r="E11" i="7" l="1"/>
  <c r="E12" i="7" s="1"/>
  <c r="E10" i="7"/>
  <c r="E6" i="8" l="1"/>
  <c r="E5" i="8"/>
  <c r="E6" i="7" l="1"/>
  <c r="E5" i="7"/>
  <c r="E6" i="6" l="1"/>
  <c r="E5" i="6"/>
  <c r="E6" i="5" l="1"/>
  <c r="E5" i="5"/>
  <c r="E6" i="4" l="1"/>
  <c r="E5" i="4"/>
  <c r="E12" i="10" l="1"/>
  <c r="E12" i="9" l="1"/>
  <c r="E7" i="4" l="1"/>
  <c r="A2" i="15" l="1"/>
  <c r="A2" i="14"/>
  <c r="E19" i="17" l="1"/>
  <c r="D19" i="17"/>
  <c r="E20" i="17" s="1"/>
  <c r="F16" i="17" l="1"/>
  <c r="E16" i="17" s="1"/>
  <c r="D16" i="17"/>
  <c r="F15" i="17"/>
  <c r="E15" i="17" s="1"/>
  <c r="D15" i="17"/>
  <c r="F14" i="17"/>
  <c r="E14" i="17" s="1"/>
  <c r="D14" i="17"/>
  <c r="G12" i="17"/>
  <c r="H11" i="17"/>
  <c r="F13" i="17"/>
  <c r="E13" i="17" s="1"/>
  <c r="D13" i="17"/>
  <c r="G11" i="17"/>
  <c r="F12" i="17"/>
  <c r="D12" i="17"/>
  <c r="G5" i="17"/>
  <c r="F11" i="17"/>
  <c r="D11" i="17"/>
  <c r="F10" i="17"/>
  <c r="E10" i="17" s="1"/>
  <c r="D10" i="17"/>
  <c r="F9" i="17"/>
  <c r="E9" i="17" s="1"/>
  <c r="D9" i="17"/>
  <c r="F8" i="17"/>
  <c r="E8" i="17" s="1"/>
  <c r="D8" i="17"/>
  <c r="F7" i="17"/>
  <c r="E7" i="17" s="1"/>
  <c r="D7" i="17"/>
  <c r="F6" i="17"/>
  <c r="E6" i="17" s="1"/>
  <c r="D6" i="17"/>
  <c r="D5" i="17"/>
  <c r="F5" i="17"/>
  <c r="E5" i="17" l="1"/>
  <c r="E17" i="17" s="1"/>
  <c r="D17" i="17" s="1"/>
  <c r="E11" i="17"/>
  <c r="E12" i="17"/>
  <c r="B12" i="16" l="1"/>
  <c r="B11" i="16"/>
  <c r="C13" i="16"/>
  <c r="B13" i="16"/>
  <c r="C12" i="16"/>
  <c r="B5" i="16"/>
  <c r="C11" i="16"/>
  <c r="C10" i="16"/>
  <c r="B10" i="16"/>
  <c r="C9" i="16"/>
  <c r="B9" i="16"/>
  <c r="C8" i="16"/>
  <c r="B8" i="16"/>
  <c r="C6" i="16"/>
  <c r="C7" i="16"/>
  <c r="B7" i="16"/>
  <c r="B6" i="16"/>
  <c r="C5" i="16"/>
  <c r="D7" i="16" l="1"/>
  <c r="D13" i="16"/>
  <c r="D8" i="16"/>
  <c r="D9" i="16"/>
  <c r="D10" i="16"/>
  <c r="D6" i="16"/>
  <c r="D12" i="16"/>
  <c r="D11" i="16"/>
  <c r="D5" i="16"/>
  <c r="D18" i="16" s="1"/>
  <c r="B18" i="16"/>
  <c r="C18" i="16" l="1"/>
  <c r="A2" i="13" l="1"/>
  <c r="A2" i="12"/>
  <c r="A2" i="11"/>
  <c r="A2" i="10"/>
  <c r="A2" i="9"/>
  <c r="A2" i="8"/>
  <c r="A2" i="7"/>
  <c r="A2" i="6"/>
  <c r="A2" i="5"/>
  <c r="E9" i="5" l="1"/>
  <c r="E10" i="5" s="1"/>
  <c r="E9" i="6" l="1"/>
  <c r="E10" i="6" s="1"/>
  <c r="E8" i="7" l="1"/>
  <c r="E7" i="15" l="1"/>
  <c r="E7" i="14"/>
  <c r="E7" i="13"/>
  <c r="E7" i="12"/>
  <c r="E7" i="11"/>
  <c r="E7" i="10"/>
  <c r="E7" i="9"/>
  <c r="E7" i="8"/>
  <c r="E7" i="7"/>
  <c r="E7" i="6"/>
  <c r="E7" i="5"/>
</calcChain>
</file>

<file path=xl/sharedStrings.xml><?xml version="1.0" encoding="utf-8"?>
<sst xmlns="http://schemas.openxmlformats.org/spreadsheetml/2006/main" count="221" uniqueCount="37">
  <si>
    <t>№</t>
  </si>
  <si>
    <t xml:space="preserve">Наименование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</si>
  <si>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</si>
  <si>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</si>
  <si>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</si>
  <si>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</si>
  <si>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</si>
  <si>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</si>
  <si>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</si>
  <si>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</si>
  <si>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</si>
  <si>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</si>
  <si>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</si>
  <si>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</si>
  <si>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</si>
  <si>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Электроэнергия для компенсации потерь, руб., без НДС</t>
  </si>
  <si>
    <t>Тариф, руб./тыс. кВт*ч без НДС</t>
  </si>
  <si>
    <t>Договор</t>
  </si>
  <si>
    <t>Гарантирующий поставщик</t>
  </si>
  <si>
    <t>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</si>
  <si>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Электроэнергия для компенсации потерь, МВт.час</t>
  </si>
  <si>
    <t>Дата:</t>
  </si>
  <si>
    <t>ООО "Металлэнергофинанс"</t>
  </si>
  <si>
    <t>ПАО "Кузбассэнергосбыт"</t>
  </si>
  <si>
    <t>№ 1024/2018/12-2/ГЭС-67-18 от 22.01.2018 г.  Купли-продажи  электрической энергии в целях компенсации потерь электрической энергии в электрических сетях</t>
  </si>
  <si>
    <t>за 2024 г.</t>
  </si>
  <si>
    <t>12.02.2024 г.</t>
  </si>
  <si>
    <t>12.03.2024 г.</t>
  </si>
  <si>
    <t>11.04.2024 г.</t>
  </si>
  <si>
    <t>13.05.2024 г.</t>
  </si>
  <si>
    <t>11.06.2024 г.</t>
  </si>
  <si>
    <t>11.07.2024 г.</t>
  </si>
  <si>
    <t>12.08.2024 г.</t>
  </si>
  <si>
    <t>11.09.2024 г.</t>
  </si>
  <si>
    <t>11.10.2024 г.</t>
  </si>
  <si>
    <t>11.11.2024 г.</t>
  </si>
  <si>
    <t>11.12.2024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</si>
</sst>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color theme="0"/>
      <name val="Arial Cyr"/>
      <charset val="204"/>
    </font>
    <font>
      <sz val="11"/>
      <color theme="1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i/>
      <sz val="1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0" xfId="1" applyFont="1"/>
    <xf numFmtId="0" fontId="1" fillId="0" borderId="0" xfId="1" applyFont="1"/>
    <xf numFmtId="0" fontId="6" fillId="0" borderId="5" xfId="3" applyFont="1" applyFill="1" applyBorder="1" applyAlignment="1">
      <alignment horizontal="left" vertical="center" wrapText="1"/>
    </xf>
    <xf numFmtId="4" fontId="6" fillId="0" borderId="5" xfId="1" quotePrefix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 wrapText="1"/>
    </xf>
    <xf numFmtId="4" fontId="6" fillId="0" borderId="6" xfId="1" quotePrefix="1" applyNumberFormat="1" applyFont="1" applyFill="1" applyBorder="1" applyAlignment="1">
      <alignment vertical="center"/>
    </xf>
    <xf numFmtId="0" fontId="2" fillId="0" borderId="7" xfId="3" applyFont="1" applyFill="1" applyBorder="1" applyAlignment="1">
      <alignment horizontal="left" vertical="center" wrapText="1"/>
    </xf>
    <xf numFmtId="4" fontId="2" fillId="0" borderId="7" xfId="1" quotePrefix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5" xfId="3" applyFont="1" applyFill="1" applyBorder="1" applyAlignment="1">
      <alignment horizontal="left" vertical="center" wrapText="1"/>
    </xf>
    <xf numFmtId="165" fontId="8" fillId="0" borderId="5" xfId="1" quotePrefix="1" applyNumberFormat="1" applyFont="1" applyFill="1" applyBorder="1" applyAlignment="1">
      <alignment vertical="center"/>
    </xf>
    <xf numFmtId="0" fontId="8" fillId="0" borderId="0" xfId="1" applyFont="1"/>
    <xf numFmtId="0" fontId="8" fillId="0" borderId="6" xfId="1" applyFont="1" applyFill="1" applyBorder="1" applyAlignment="1">
      <alignment vertical="center" wrapText="1"/>
    </xf>
    <xf numFmtId="4" fontId="8" fillId="0" borderId="6" xfId="1" quotePrefix="1" applyNumberFormat="1" applyFont="1" applyFill="1" applyBorder="1" applyAlignment="1">
      <alignment vertical="center"/>
    </xf>
    <xf numFmtId="0" fontId="10" fillId="0" borderId="0" xfId="1" applyFont="1"/>
    <xf numFmtId="0" fontId="9" fillId="0" borderId="7" xfId="3" applyFont="1" applyFill="1" applyBorder="1" applyAlignment="1">
      <alignment horizontal="left" vertical="center" wrapText="1"/>
    </xf>
    <xf numFmtId="4" fontId="9" fillId="0" borderId="7" xfId="1" quotePrefix="1" applyNumberFormat="1" applyFont="1" applyFill="1" applyBorder="1" applyAlignment="1">
      <alignment vertical="center"/>
    </xf>
    <xf numFmtId="0" fontId="11" fillId="0" borderId="0" xfId="0" applyFont="1"/>
    <xf numFmtId="49" fontId="2" fillId="0" borderId="1" xfId="2" applyNumberFormat="1" applyFont="1" applyBorder="1" applyAlignment="1">
      <alignment horizontal="center" vertical="top"/>
    </xf>
    <xf numFmtId="4" fontId="0" fillId="0" borderId="0" xfId="0" applyNumberFormat="1"/>
    <xf numFmtId="3" fontId="0" fillId="0" borderId="0" xfId="0" applyNumberFormat="1"/>
    <xf numFmtId="14" fontId="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" fontId="9" fillId="0" borderId="0" xfId="1" quotePrefix="1" applyNumberFormat="1" applyFont="1" applyFill="1" applyBorder="1" applyAlignment="1">
      <alignment vertical="center"/>
    </xf>
    <xf numFmtId="14" fontId="7" fillId="0" borderId="0" xfId="0" applyNumberFormat="1" applyFont="1" applyFill="1" applyAlignment="1">
      <alignment horizontal="right"/>
    </xf>
    <xf numFmtId="0" fontId="8" fillId="0" borderId="8" xfId="3" applyFont="1" applyFill="1" applyBorder="1" applyAlignment="1">
      <alignment horizontal="left" vertical="center" wrapText="1"/>
    </xf>
    <xf numFmtId="165" fontId="8" fillId="0" borderId="8" xfId="1" quotePrefix="1" applyNumberFormat="1" applyFont="1" applyFill="1" applyBorder="1" applyAlignment="1">
      <alignment vertical="center"/>
    </xf>
    <xf numFmtId="0" fontId="8" fillId="0" borderId="0" xfId="1" applyFont="1" applyBorder="1"/>
    <xf numFmtId="0" fontId="8" fillId="0" borderId="8" xfId="1" applyFont="1" applyBorder="1" applyAlignment="1">
      <alignment vertical="center"/>
    </xf>
    <xf numFmtId="0" fontId="9" fillId="0" borderId="8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НПК_модель02.12.03" xfId="3"/>
    <cellStyle name="Обычный_Финплан ГЭС май 2013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E7" sqref="E7"/>
    </sheetView>
  </sheetViews>
  <sheetFormatPr defaultRowHeight="15" x14ac:dyDescent="0.25"/>
  <cols>
    <col min="1" max="1" width="2.85546875" bestFit="1" customWidth="1"/>
    <col min="2" max="2" width="46.7109375" customWidth="1"/>
    <col min="3" max="3" width="47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x14ac:dyDescent="0.25">
      <c r="A2" s="47" t="s">
        <v>25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2</v>
      </c>
    </row>
    <row r="5" spans="1:5" s="2" customFormat="1" ht="25.5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12914623/1000</f>
        <v>12914.623</v>
      </c>
    </row>
    <row r="6" spans="1:5" s="3" customFormat="1" ht="12.75" x14ac:dyDescent="0.2">
      <c r="A6" s="1">
        <v>2</v>
      </c>
      <c r="B6" s="44"/>
      <c r="C6" s="46"/>
      <c r="D6" s="6" t="s">
        <v>16</v>
      </c>
      <c r="E6" s="7">
        <f>3.15051*1000</f>
        <v>3150.51</v>
      </c>
    </row>
    <row r="7" spans="1:5" s="3" customFormat="1" ht="25.5" x14ac:dyDescent="0.2">
      <c r="A7" s="1">
        <v>3</v>
      </c>
      <c r="B7" s="45"/>
      <c r="C7" s="46"/>
      <c r="D7" s="8" t="s">
        <v>15</v>
      </c>
      <c r="E7" s="9">
        <f t="shared" ref="E7" si="0">E5*E6</f>
        <v>40687648.907729998</v>
      </c>
    </row>
    <row r="10" spans="1:5" x14ac:dyDescent="0.25">
      <c r="D10" s="14" t="s">
        <v>21</v>
      </c>
      <c r="E10" s="30" t="s">
        <v>26</v>
      </c>
    </row>
  </sheetData>
  <mergeCells count="4">
    <mergeCell ref="B5:B7"/>
    <mergeCell ref="C5:C7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E7" sqref="E7"/>
    </sheetView>
  </sheetViews>
  <sheetFormatPr defaultColWidth="9.140625" defaultRowHeight="14.25" x14ac:dyDescent="0.2"/>
  <cols>
    <col min="1" max="1" width="2.85546875" style="23" bestFit="1" customWidth="1"/>
    <col min="2" max="2" width="46.7109375" style="23" customWidth="1"/>
    <col min="3" max="3" width="48.28515625" style="23" customWidth="1"/>
    <col min="4" max="4" width="43" style="23" customWidth="1"/>
    <col min="5" max="5" width="16.140625" style="23" bestFit="1" customWidth="1"/>
    <col min="6" max="16384" width="9.140625" style="23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11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16218720/1000</f>
        <v>16218.72</v>
      </c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>
        <f>3.36573560613908*1000</f>
        <v>3365.7356061390801</v>
      </c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54587923.390000023</v>
      </c>
    </row>
    <row r="10" spans="1:5" customFormat="1" ht="15" x14ac:dyDescent="0.25">
      <c r="D10" s="14" t="s">
        <v>21</v>
      </c>
      <c r="E10" s="27" t="s">
        <v>35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abSelected="1" workbookViewId="0">
      <selection activeCell="E7" sqref="E7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12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13229658/1000</f>
        <v>13229.657999999999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3.53425449395593*1000</f>
        <v>3534.2544939559302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46756978.240000024</v>
      </c>
    </row>
    <row r="11" spans="1:5" x14ac:dyDescent="0.25">
      <c r="D11" s="14" t="s">
        <v>21</v>
      </c>
      <c r="E11" s="27" t="s">
        <v>36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E11" sqref="E1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13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11" spans="1:5" x14ac:dyDescent="0.25">
      <c r="D11" s="14" t="s">
        <v>21</v>
      </c>
      <c r="E11" s="27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workbookViewId="0">
      <selection activeCell="B18" sqref="B18:D18"/>
    </sheetView>
  </sheetViews>
  <sheetFormatPr defaultRowHeight="15" x14ac:dyDescent="0.25"/>
  <cols>
    <col min="4" max="4" width="13.5703125" bestFit="1" customWidth="1"/>
  </cols>
  <sheetData>
    <row r="5" spans="1:4" x14ac:dyDescent="0.25">
      <c r="A5">
        <v>1</v>
      </c>
      <c r="B5" s="25" t="e">
        <f>Январь!E5+Июль!#REF!</f>
        <v>#REF!</v>
      </c>
      <c r="C5" s="25">
        <f>Январь!E6</f>
        <v>3150.51</v>
      </c>
      <c r="D5" s="26" t="e">
        <f>B5*C5/1000</f>
        <v>#REF!</v>
      </c>
    </row>
    <row r="6" spans="1:4" x14ac:dyDescent="0.25">
      <c r="A6">
        <v>2</v>
      </c>
      <c r="B6" s="25">
        <f>Февраль!E5</f>
        <v>9837.1219999999994</v>
      </c>
      <c r="C6" s="25">
        <f>Февраль!E6</f>
        <v>3212.33244337114</v>
      </c>
      <c r="D6" s="26">
        <f t="shared" ref="D6:D13" si="0">B6*C6/1000</f>
        <v>31600.106149999996</v>
      </c>
    </row>
    <row r="7" spans="1:4" x14ac:dyDescent="0.25">
      <c r="A7">
        <v>3</v>
      </c>
      <c r="B7" s="25">
        <f>Март!E5</f>
        <v>14908.036</v>
      </c>
      <c r="C7" s="25">
        <f>Март!E6</f>
        <v>3038.19</v>
      </c>
      <c r="D7" s="26">
        <f t="shared" si="0"/>
        <v>45293.445894839999</v>
      </c>
    </row>
    <row r="8" spans="1:4" x14ac:dyDescent="0.25">
      <c r="A8">
        <v>4</v>
      </c>
      <c r="B8" s="25">
        <f>Апрель!E5</f>
        <v>8431.9670000000006</v>
      </c>
      <c r="C8" s="25">
        <f>Апрель!E6</f>
        <v>3027.69</v>
      </c>
      <c r="D8" s="26">
        <f t="shared" si="0"/>
        <v>25529.38216623</v>
      </c>
    </row>
    <row r="9" spans="1:4" x14ac:dyDescent="0.25">
      <c r="A9">
        <v>5</v>
      </c>
      <c r="B9" s="25">
        <f>Май!E5</f>
        <v>14183.967000000001</v>
      </c>
      <c r="C9" s="25">
        <f>Май!E6</f>
        <v>2794.6457397990303</v>
      </c>
      <c r="D9" s="26">
        <f t="shared" si="0"/>
        <v>39639.162950000034</v>
      </c>
    </row>
    <row r="10" spans="1:4" x14ac:dyDescent="0.25">
      <c r="A10">
        <v>6</v>
      </c>
      <c r="B10" s="25">
        <f>Июнь!E5</f>
        <v>4213.9430000000002</v>
      </c>
      <c r="C10" s="25">
        <f>Июнь!E6</f>
        <v>2809.54</v>
      </c>
      <c r="D10" s="26">
        <f t="shared" si="0"/>
        <v>11839.24141622</v>
      </c>
    </row>
    <row r="11" spans="1:4" x14ac:dyDescent="0.25">
      <c r="A11">
        <v>7</v>
      </c>
      <c r="B11" s="25" t="e">
        <f>Июль!E5+Август!#REF!+Сентябрь!#REF!</f>
        <v>#REF!</v>
      </c>
      <c r="C11" s="25">
        <f>Июль!E6</f>
        <v>2994.15102540823</v>
      </c>
      <c r="D11" s="26" t="e">
        <f t="shared" si="0"/>
        <v>#REF!</v>
      </c>
    </row>
    <row r="12" spans="1:4" x14ac:dyDescent="0.25">
      <c r="A12">
        <v>8</v>
      </c>
      <c r="B12" s="25" t="e">
        <f>Август!E5+Сентябрь!#REF!</f>
        <v>#REF!</v>
      </c>
      <c r="C12" s="25">
        <f>Август!E6</f>
        <v>3149.7386193584898</v>
      </c>
      <c r="D12" s="26" t="e">
        <f t="shared" si="0"/>
        <v>#REF!</v>
      </c>
    </row>
    <row r="13" spans="1:4" x14ac:dyDescent="0.25">
      <c r="A13">
        <v>9</v>
      </c>
      <c r="B13" s="25">
        <f>Сентябрь!E5</f>
        <v>10164.07</v>
      </c>
      <c r="C13" s="25">
        <f>Сентябрь!E6</f>
        <v>3575.3277712569898</v>
      </c>
      <c r="D13" s="26">
        <f t="shared" si="0"/>
        <v>36339.881740000033</v>
      </c>
    </row>
    <row r="16" spans="1:4" x14ac:dyDescent="0.25">
      <c r="D16" s="25"/>
    </row>
    <row r="18" spans="2:4" x14ac:dyDescent="0.25">
      <c r="B18" s="25" t="e">
        <f>SUM(B5:B13)</f>
        <v>#REF!</v>
      </c>
      <c r="C18" s="25" t="e">
        <f>D18/B18*1000</f>
        <v>#REF!</v>
      </c>
      <c r="D18" s="26" t="e">
        <f>SUM(D5:D13)</f>
        <v>#REF!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0"/>
  <sheetViews>
    <sheetView workbookViewId="0">
      <selection activeCell="E19" activeCellId="1" sqref="E5:E16 E19"/>
    </sheetView>
  </sheetViews>
  <sheetFormatPr defaultRowHeight="15" x14ac:dyDescent="0.25"/>
  <cols>
    <col min="5" max="5" width="10.85546875" bestFit="1" customWidth="1"/>
    <col min="9" max="9" width="9.140625" customWidth="1"/>
  </cols>
  <sheetData>
    <row r="5" spans="3:8" x14ac:dyDescent="0.25">
      <c r="C5" t="s">
        <v>2</v>
      </c>
      <c r="D5" s="25">
        <f>Январь!E6</f>
        <v>3150.51</v>
      </c>
      <c r="E5" s="26" t="e">
        <f>SUM(F5:H5)</f>
        <v>#REF!</v>
      </c>
      <c r="F5" s="26">
        <f>Январь!E5</f>
        <v>12914.623</v>
      </c>
      <c r="G5" s="26" t="e">
        <f>Июль!#REF!</f>
        <v>#REF!</v>
      </c>
      <c r="H5" s="26"/>
    </row>
    <row r="6" spans="3:8" x14ac:dyDescent="0.25">
      <c r="C6" t="s">
        <v>3</v>
      </c>
      <c r="D6" s="25">
        <f>Февраль!E6</f>
        <v>3212.33244337114</v>
      </c>
      <c r="E6" s="26">
        <f t="shared" ref="E6:E16" si="0">SUM(F6:H6)</f>
        <v>9837.1219999999994</v>
      </c>
      <c r="F6" s="26">
        <f>Февраль!E5</f>
        <v>9837.1219999999994</v>
      </c>
    </row>
    <row r="7" spans="3:8" x14ac:dyDescent="0.25">
      <c r="C7" t="s">
        <v>4</v>
      </c>
      <c r="D7" s="25">
        <f>Март!E6</f>
        <v>3038.19</v>
      </c>
      <c r="E7" s="26">
        <f t="shared" si="0"/>
        <v>14908.036</v>
      </c>
      <c r="F7" s="26">
        <f>Март!E5</f>
        <v>14908.036</v>
      </c>
    </row>
    <row r="8" spans="3:8" x14ac:dyDescent="0.25">
      <c r="C8" t="s">
        <v>5</v>
      </c>
      <c r="D8" s="25">
        <f>Апрель!E6</f>
        <v>3027.69</v>
      </c>
      <c r="E8" s="26">
        <f t="shared" si="0"/>
        <v>8431.9670000000006</v>
      </c>
      <c r="F8" s="26">
        <f>Апрель!E5</f>
        <v>8431.9670000000006</v>
      </c>
    </row>
    <row r="9" spans="3:8" x14ac:dyDescent="0.25">
      <c r="C9" t="s">
        <v>6</v>
      </c>
      <c r="D9" s="25">
        <f>Май!E6</f>
        <v>2794.6457397990303</v>
      </c>
      <c r="E9" s="26">
        <f t="shared" si="0"/>
        <v>14183.967000000001</v>
      </c>
      <c r="F9" s="26">
        <f>Май!E5</f>
        <v>14183.967000000001</v>
      </c>
    </row>
    <row r="10" spans="3:8" x14ac:dyDescent="0.25">
      <c r="C10" t="s">
        <v>7</v>
      </c>
      <c r="D10" s="25">
        <f>Июнь!E6</f>
        <v>2809.54</v>
      </c>
      <c r="E10" s="26">
        <f t="shared" si="0"/>
        <v>4213.9430000000002</v>
      </c>
      <c r="F10" s="26">
        <f>Июнь!E5</f>
        <v>4213.9430000000002</v>
      </c>
    </row>
    <row r="11" spans="3:8" x14ac:dyDescent="0.25">
      <c r="C11" t="s">
        <v>8</v>
      </c>
      <c r="D11" s="25">
        <f>Июль!E6</f>
        <v>2994.15102540823</v>
      </c>
      <c r="E11" s="26" t="e">
        <f t="shared" si="0"/>
        <v>#REF!</v>
      </c>
      <c r="F11" s="26">
        <f>Июль!E5</f>
        <v>11459.436</v>
      </c>
      <c r="G11" s="25" t="e">
        <f>Август!#REF!</f>
        <v>#REF!</v>
      </c>
      <c r="H11" s="25" t="e">
        <f>Сентябрь!#REF!</f>
        <v>#REF!</v>
      </c>
    </row>
    <row r="12" spans="3:8" x14ac:dyDescent="0.25">
      <c r="C12" t="s">
        <v>9</v>
      </c>
      <c r="D12" s="25">
        <f>Август!E6</f>
        <v>3149.7386193584898</v>
      </c>
      <c r="E12" s="26" t="e">
        <f t="shared" si="0"/>
        <v>#REF!</v>
      </c>
      <c r="F12" s="26">
        <f>Август!E5</f>
        <v>9065.4380000000001</v>
      </c>
      <c r="G12" s="25" t="e">
        <f>Сентябрь!#REF!</f>
        <v>#REF!</v>
      </c>
    </row>
    <row r="13" spans="3:8" x14ac:dyDescent="0.25">
      <c r="C13" t="s">
        <v>10</v>
      </c>
      <c r="D13" s="25">
        <f>Сентябрь!E6</f>
        <v>3575.3277712569898</v>
      </c>
      <c r="E13" s="26">
        <f t="shared" si="0"/>
        <v>10164.07</v>
      </c>
      <c r="F13" s="26">
        <f>Сентябрь!E5</f>
        <v>10164.07</v>
      </c>
    </row>
    <row r="14" spans="3:8" x14ac:dyDescent="0.25">
      <c r="C14" t="s">
        <v>11</v>
      </c>
      <c r="D14" s="25">
        <f>Октябрь!E6</f>
        <v>3365.7356061390801</v>
      </c>
      <c r="E14" s="26">
        <f t="shared" si="0"/>
        <v>16218.72</v>
      </c>
      <c r="F14" s="26">
        <f>Октябрь!E5</f>
        <v>16218.72</v>
      </c>
    </row>
    <row r="15" spans="3:8" x14ac:dyDescent="0.25">
      <c r="C15" t="s">
        <v>12</v>
      </c>
      <c r="D15" s="25">
        <f>Ноябрь!E6</f>
        <v>3534.2544939559302</v>
      </c>
      <c r="E15" s="26">
        <f t="shared" si="0"/>
        <v>13229.657999999999</v>
      </c>
      <c r="F15" s="26">
        <f>Ноябрь!E5</f>
        <v>13229.657999999999</v>
      </c>
    </row>
    <row r="16" spans="3:8" x14ac:dyDescent="0.25">
      <c r="C16" t="s">
        <v>13</v>
      </c>
      <c r="D16" s="25">
        <f>Декабрь!E6</f>
        <v>0</v>
      </c>
      <c r="E16" s="26">
        <f t="shared" si="0"/>
        <v>0</v>
      </c>
      <c r="F16" s="26">
        <f>Декабрь!E5</f>
        <v>0</v>
      </c>
    </row>
    <row r="17" spans="4:6" x14ac:dyDescent="0.25">
      <c r="D17" s="25" t="e">
        <f>E17/(SUM(E5:E16)+E19)</f>
        <v>#REF!</v>
      </c>
      <c r="E17" s="26" t="e">
        <f>SUMPRODUCT(D5:D16,E5:E16)+E20</f>
        <v>#REF!</v>
      </c>
      <c r="F17" s="26"/>
    </row>
    <row r="19" spans="4:6" x14ac:dyDescent="0.25">
      <c r="D19" s="25">
        <f>2.54998*1000</f>
        <v>2549.98</v>
      </c>
      <c r="E19" s="26">
        <f>7/1000</f>
        <v>7.0000000000000001E-3</v>
      </c>
    </row>
    <row r="20" spans="4:6" x14ac:dyDescent="0.25">
      <c r="E20" s="25">
        <f>D19*E19</f>
        <v>17.84986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G18" sqref="G18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3</v>
      </c>
    </row>
    <row r="5" spans="1:5" s="2" customFormat="1" ht="25.5" customHeight="1" x14ac:dyDescent="0.2">
      <c r="A5" s="55">
        <v>1</v>
      </c>
      <c r="B5" s="43" t="s">
        <v>23</v>
      </c>
      <c r="C5" s="46" t="s">
        <v>19</v>
      </c>
      <c r="D5" s="4" t="s">
        <v>20</v>
      </c>
      <c r="E5" s="5">
        <f>9837122/1000</f>
        <v>9837.1219999999994</v>
      </c>
    </row>
    <row r="6" spans="1:5" s="3" customFormat="1" ht="12.75" x14ac:dyDescent="0.2">
      <c r="A6" s="56"/>
      <c r="B6" s="44"/>
      <c r="C6" s="46"/>
      <c r="D6" s="6" t="s">
        <v>16</v>
      </c>
      <c r="E6" s="7">
        <f>3.21233244337114*1000</f>
        <v>3212.33244337114</v>
      </c>
    </row>
    <row r="7" spans="1:5" s="3" customFormat="1" ht="25.5" x14ac:dyDescent="0.2">
      <c r="A7" s="57"/>
      <c r="B7" s="45"/>
      <c r="C7" s="46"/>
      <c r="D7" s="8" t="s">
        <v>15</v>
      </c>
      <c r="E7" s="9">
        <f t="shared" ref="E7" si="0">E5*E6</f>
        <v>31600106.149999995</v>
      </c>
    </row>
    <row r="8" spans="1:5" s="17" customFormat="1" ht="25.5" hidden="1" customHeight="1" x14ac:dyDescent="0.2">
      <c r="A8" s="48">
        <v>2</v>
      </c>
      <c r="B8" s="51" t="s">
        <v>22</v>
      </c>
      <c r="C8" s="54" t="s">
        <v>19</v>
      </c>
      <c r="D8" s="15" t="s">
        <v>20</v>
      </c>
      <c r="E8" s="16">
        <v>0.91600000000000004</v>
      </c>
    </row>
    <row r="9" spans="1:5" s="20" customFormat="1" ht="12.75" hidden="1" customHeight="1" x14ac:dyDescent="0.2">
      <c r="A9" s="49"/>
      <c r="B9" s="52"/>
      <c r="C9" s="54"/>
      <c r="D9" s="18" t="s">
        <v>16</v>
      </c>
      <c r="E9" s="19">
        <f>2.23865*1000</f>
        <v>2238.6499999999996</v>
      </c>
    </row>
    <row r="10" spans="1:5" s="20" customFormat="1" ht="25.5" hidden="1" customHeight="1" x14ac:dyDescent="0.2">
      <c r="A10" s="50"/>
      <c r="B10" s="53"/>
      <c r="C10" s="54"/>
      <c r="D10" s="21" t="s">
        <v>15</v>
      </c>
      <c r="E10" s="22">
        <f t="shared" ref="E10" si="1">E8*E9</f>
        <v>2050.6034</v>
      </c>
    </row>
    <row r="13" spans="1:5" x14ac:dyDescent="0.25">
      <c r="D13" s="14" t="s">
        <v>21</v>
      </c>
      <c r="E13" s="27" t="s">
        <v>27</v>
      </c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F26" sqref="F26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4</v>
      </c>
    </row>
    <row r="5" spans="1:5" s="2" customFormat="1" ht="25.5" customHeight="1" x14ac:dyDescent="0.2">
      <c r="A5" s="55">
        <v>1</v>
      </c>
      <c r="B5" s="43" t="s">
        <v>23</v>
      </c>
      <c r="C5" s="46" t="s">
        <v>19</v>
      </c>
      <c r="D5" s="4" t="s">
        <v>20</v>
      </c>
      <c r="E5" s="5">
        <f>14908036/1000</f>
        <v>14908.036</v>
      </c>
    </row>
    <row r="6" spans="1:5" s="3" customFormat="1" ht="12.75" customHeight="1" x14ac:dyDescent="0.2">
      <c r="A6" s="56"/>
      <c r="B6" s="44"/>
      <c r="C6" s="46"/>
      <c r="D6" s="6" t="s">
        <v>16</v>
      </c>
      <c r="E6" s="7">
        <f>3.03819*1000</f>
        <v>3038.19</v>
      </c>
    </row>
    <row r="7" spans="1:5" s="3" customFormat="1" ht="25.5" customHeight="1" x14ac:dyDescent="0.2">
      <c r="A7" s="57"/>
      <c r="B7" s="45"/>
      <c r="C7" s="46"/>
      <c r="D7" s="8" t="s">
        <v>15</v>
      </c>
      <c r="E7" s="9">
        <f t="shared" ref="E7" si="0">E5*E6</f>
        <v>45293445.894840002</v>
      </c>
    </row>
    <row r="8" spans="1:5" s="17" customFormat="1" ht="25.5" hidden="1" customHeight="1" x14ac:dyDescent="0.2">
      <c r="A8" s="48">
        <v>2</v>
      </c>
      <c r="B8" s="51" t="s">
        <v>22</v>
      </c>
      <c r="C8" s="54" t="s">
        <v>19</v>
      </c>
      <c r="D8" s="15" t="s">
        <v>20</v>
      </c>
      <c r="E8" s="16">
        <v>5.42</v>
      </c>
    </row>
    <row r="9" spans="1:5" s="20" customFormat="1" ht="12.75" hidden="1" customHeight="1" x14ac:dyDescent="0.2">
      <c r="A9" s="49"/>
      <c r="B9" s="52"/>
      <c r="C9" s="54"/>
      <c r="D9" s="18" t="s">
        <v>16</v>
      </c>
      <c r="E9" s="19">
        <f>2.1634*1000</f>
        <v>2163.4</v>
      </c>
    </row>
    <row r="10" spans="1:5" s="20" customFormat="1" ht="25.5" hidden="1" customHeight="1" x14ac:dyDescent="0.2">
      <c r="A10" s="50"/>
      <c r="B10" s="53"/>
      <c r="C10" s="54"/>
      <c r="D10" s="21" t="s">
        <v>15</v>
      </c>
      <c r="E10" s="22">
        <f t="shared" ref="E10" si="1">E8*E9</f>
        <v>11725.628000000001</v>
      </c>
    </row>
    <row r="11" spans="1:5" s="20" customFormat="1" ht="18" customHeight="1" x14ac:dyDescent="0.2">
      <c r="A11" s="31"/>
      <c r="B11" s="32"/>
      <c r="C11" s="33"/>
      <c r="D11" s="34"/>
      <c r="E11" s="35"/>
    </row>
    <row r="13" spans="1:5" x14ac:dyDescent="0.25">
      <c r="D13" s="14" t="s">
        <v>21</v>
      </c>
      <c r="E13" s="27" t="s">
        <v>28</v>
      </c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5</v>
      </c>
    </row>
    <row r="5" spans="1:5" s="2" customFormat="1" ht="25.5" customHeight="1" x14ac:dyDescent="0.2">
      <c r="A5" s="55">
        <v>1</v>
      </c>
      <c r="B5" s="43" t="s">
        <v>23</v>
      </c>
      <c r="C5" s="46" t="s">
        <v>19</v>
      </c>
      <c r="D5" s="4" t="s">
        <v>20</v>
      </c>
      <c r="E5" s="5">
        <f>8431967/1000</f>
        <v>8431.9670000000006</v>
      </c>
    </row>
    <row r="6" spans="1:5" s="3" customFormat="1" ht="12.75" customHeight="1" x14ac:dyDescent="0.2">
      <c r="A6" s="56"/>
      <c r="B6" s="44"/>
      <c r="C6" s="46"/>
      <c r="D6" s="6" t="s">
        <v>16</v>
      </c>
      <c r="E6" s="7">
        <f>3.02769*1000</f>
        <v>3027.69</v>
      </c>
    </row>
    <row r="7" spans="1:5" s="3" customFormat="1" ht="25.5" customHeight="1" x14ac:dyDescent="0.2">
      <c r="A7" s="57"/>
      <c r="B7" s="45"/>
      <c r="C7" s="46"/>
      <c r="D7" s="8" t="s">
        <v>15</v>
      </c>
      <c r="E7" s="9">
        <f t="shared" ref="E7" si="0">E5*E6</f>
        <v>25529382.166230001</v>
      </c>
    </row>
    <row r="8" spans="1:5" s="39" customFormat="1" ht="25.5" customHeight="1" x14ac:dyDescent="0.2">
      <c r="A8" s="40">
        <v>2</v>
      </c>
      <c r="B8" s="41" t="s">
        <v>22</v>
      </c>
      <c r="C8" s="42" t="s">
        <v>19</v>
      </c>
      <c r="D8" s="37" t="s">
        <v>20</v>
      </c>
      <c r="E8" s="38">
        <f>78/1000</f>
        <v>7.8E-2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>
        <f>875/1000</f>
        <v>0.875</v>
      </c>
    </row>
    <row r="11" spans="1:5" ht="18" customHeight="1" x14ac:dyDescent="0.25">
      <c r="A11" s="1">
        <v>2</v>
      </c>
      <c r="B11" s="59"/>
      <c r="C11" s="61"/>
      <c r="D11" s="6" t="s">
        <v>16</v>
      </c>
      <c r="E11" s="7">
        <f>4.23151*1000</f>
        <v>4231.51</v>
      </c>
    </row>
    <row r="12" spans="1:5" ht="25.5" x14ac:dyDescent="0.25">
      <c r="A12" s="1">
        <v>3</v>
      </c>
      <c r="B12" s="60"/>
      <c r="C12" s="61"/>
      <c r="D12" s="8" t="s">
        <v>15</v>
      </c>
      <c r="E12" s="9">
        <f>E10*E11</f>
        <v>3702.57125</v>
      </c>
    </row>
    <row r="15" spans="1:5" x14ac:dyDescent="0.25">
      <c r="D15" s="14" t="s">
        <v>21</v>
      </c>
      <c r="E15" s="27" t="s">
        <v>29</v>
      </c>
    </row>
  </sheetData>
  <mergeCells count="7">
    <mergeCell ref="B10:B12"/>
    <mergeCell ref="C10:C12"/>
    <mergeCell ref="A1:E1"/>
    <mergeCell ref="A2:E2"/>
    <mergeCell ref="B5:B7"/>
    <mergeCell ref="C5:C7"/>
    <mergeCell ref="A5:A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E5" sqref="E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6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14183967/1000</f>
        <v>14183.967000000001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2.79464573979903*1000</f>
        <v>2794.6457397990303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39639162.950000033</v>
      </c>
    </row>
    <row r="10" spans="1:5" x14ac:dyDescent="0.25">
      <c r="D10" s="14" t="s">
        <v>21</v>
      </c>
      <c r="E10" s="27" t="s">
        <v>30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A9" sqref="A9:XFD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7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4213943/1000</f>
        <v>4213.9430000000002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2.80954*1000</f>
        <v>2809.54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11839241.41622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>
        <f>2244/1000</f>
        <v>2.2440000000000002</v>
      </c>
    </row>
    <row r="11" spans="1:5" ht="18" customHeight="1" x14ac:dyDescent="0.25">
      <c r="A11" s="1">
        <v>2</v>
      </c>
      <c r="B11" s="59"/>
      <c r="C11" s="61"/>
      <c r="D11" s="6" t="s">
        <v>16</v>
      </c>
      <c r="E11" s="7">
        <f>4.0264*1000</f>
        <v>4026.3999999999996</v>
      </c>
    </row>
    <row r="12" spans="1:5" ht="25.5" x14ac:dyDescent="0.25">
      <c r="A12" s="1">
        <v>3</v>
      </c>
      <c r="B12" s="60"/>
      <c r="C12" s="61"/>
      <c r="D12" s="8" t="s">
        <v>15</v>
      </c>
      <c r="E12" s="9">
        <f>E10*E11</f>
        <v>9035.2415999999994</v>
      </c>
    </row>
    <row r="15" spans="1:5" x14ac:dyDescent="0.25">
      <c r="D15" s="14" t="s">
        <v>21</v>
      </c>
      <c r="E15" s="27" t="s">
        <v>31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C23" sqref="C2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8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11459436/1000</f>
        <v>11459.436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2.99415102540823*1000</f>
        <v>2994.15102540823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34311282.049999982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>
        <f>3218/1000</f>
        <v>3.218</v>
      </c>
    </row>
    <row r="11" spans="1:5" x14ac:dyDescent="0.25">
      <c r="A11" s="1">
        <v>2</v>
      </c>
      <c r="B11" s="59"/>
      <c r="C11" s="61"/>
      <c r="D11" s="6" t="s">
        <v>16</v>
      </c>
      <c r="E11" s="7">
        <f>4.3533*1000</f>
        <v>4353.3</v>
      </c>
    </row>
    <row r="12" spans="1:5" ht="25.5" x14ac:dyDescent="0.25">
      <c r="A12" s="1">
        <v>3</v>
      </c>
      <c r="B12" s="60"/>
      <c r="C12" s="61"/>
      <c r="D12" s="8" t="s">
        <v>15</v>
      </c>
      <c r="E12" s="9">
        <f>E10*E11</f>
        <v>14008.919400000001</v>
      </c>
    </row>
    <row r="16" spans="1:5" x14ac:dyDescent="0.25">
      <c r="D16" s="14" t="s">
        <v>21</v>
      </c>
      <c r="E16" s="27" t="s">
        <v>32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9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9065438/1000</f>
        <v>9065.4380000000001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3.14973861935849*1000</f>
        <v>3149.7386193584898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28553760.169999991</v>
      </c>
    </row>
    <row r="12" spans="1:5" x14ac:dyDescent="0.25">
      <c r="D12" s="14" t="s">
        <v>21</v>
      </c>
      <c r="E12" s="36" t="s">
        <v>33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2" sqref="E12"/>
    </sheetView>
  </sheetViews>
  <sheetFormatPr defaultColWidth="9.140625" defaultRowHeight="12.75" x14ac:dyDescent="0.2"/>
  <cols>
    <col min="1" max="1" width="3" style="29" bestFit="1" customWidth="1"/>
    <col min="2" max="2" width="46.7109375" style="29" customWidth="1"/>
    <col min="3" max="3" width="48.28515625" style="29" customWidth="1"/>
    <col min="4" max="4" width="43" style="29" customWidth="1"/>
    <col min="5" max="5" width="18.5703125" style="29" customWidth="1"/>
    <col min="6" max="16384" width="9.140625" style="29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10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10164070/1000</f>
        <v>10164.07</v>
      </c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>
        <f>3.57532777125699*1000</f>
        <v>3575.3277712569898</v>
      </c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36339881.740000032</v>
      </c>
    </row>
    <row r="9" spans="1:5" customFormat="1" ht="1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customFormat="1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>
        <f>2348/1000</f>
        <v>2.3479999999999999</v>
      </c>
    </row>
    <row r="11" spans="1:5" customFormat="1" ht="18" customHeight="1" x14ac:dyDescent="0.25">
      <c r="A11" s="1">
        <v>2</v>
      </c>
      <c r="B11" s="59"/>
      <c r="C11" s="61"/>
      <c r="D11" s="6" t="s">
        <v>16</v>
      </c>
      <c r="E11" s="7">
        <f>4.45898*1000</f>
        <v>4458.9800000000005</v>
      </c>
    </row>
    <row r="12" spans="1:5" customFormat="1" ht="25.5" x14ac:dyDescent="0.25">
      <c r="A12" s="1">
        <v>3</v>
      </c>
      <c r="B12" s="60"/>
      <c r="C12" s="61"/>
      <c r="D12" s="8" t="s">
        <v>15</v>
      </c>
      <c r="E12" s="9">
        <f>E10*E11</f>
        <v>10469.68504</v>
      </c>
    </row>
    <row r="14" spans="1:5" ht="15" x14ac:dyDescent="0.25">
      <c r="D14" s="28" t="s">
        <v>21</v>
      </c>
      <c r="E14" s="36" t="s">
        <v>34</v>
      </c>
    </row>
  </sheetData>
  <mergeCells count="6">
    <mergeCell ref="B10:B12"/>
    <mergeCell ref="C10:C12"/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Демиденко-МС</cp:lastModifiedBy>
  <dcterms:created xsi:type="dcterms:W3CDTF">2017-05-11T00:42:58Z</dcterms:created>
  <dcterms:modified xsi:type="dcterms:W3CDTF">2024-12-11T07:09:56Z</dcterms:modified>
</cp:coreProperties>
</file>